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\\sv-ictss01\システムサポート部-bh\03.SEチーム\10.SKYSEA\01.資料関連\11.リリース時作業フォルダ\SKYSEA Client View Cloud Edition 導入前ヒアリングシート\作業用フォルダ\20231225_【技術資料】[製品サイト]S1S3ヒアリングシート\"/>
    </mc:Choice>
  </mc:AlternateContent>
  <xr:revisionPtr revIDLastSave="0" documentId="13_ncr:1_{5CCA5008-7781-4C9B-B924-B65CEA777B99}" xr6:coauthVersionLast="47" xr6:coauthVersionMax="47" xr10:uidLastSave="{00000000-0000-0000-0000-000000000000}"/>
  <workbookProtection workbookAlgorithmName="SHA-512" workbookHashValue="4yk0H7iin6SPocDBOU+A9XTuFUBVRwESoWZKQ0HbaJh5QQGdMtVSjlW8JWpiAOV6WwuTo0fdemngMOPLnovvRQ==" workbookSaltValue="lpulEKyxARO/xVkgOLccmQ==" workbookSpinCount="100000" lockStructure="1"/>
  <bookViews>
    <workbookView xWindow="37725" yWindow="0" windowWidth="19710" windowHeight="15600" tabRatio="773" xr2:uid="{229261A9-365D-4B64-BC58-599B031CA980}"/>
  </bookViews>
  <sheets>
    <sheet name="システム構成" sheetId="13" r:id="rId1"/>
    <sheet name="ヒアリングシート" sheetId="5" r:id="rId2"/>
    <sheet name="ヒアリングシート (記入例)" sheetId="35" r:id="rId3"/>
    <sheet name="選択肢" sheetId="3" state="hidden" r:id="rId4"/>
  </sheets>
  <externalReferences>
    <externalReference r:id="rId5"/>
    <externalReference r:id="rId6"/>
  </externalReferences>
  <definedNames>
    <definedName name="BOTTOM" localSheetId="0">#REF!</definedName>
    <definedName name="BOTTOM">#REF!</definedName>
    <definedName name="_xlnm.Print_Area" localSheetId="0">システム構成!$A$1:$AL$35</definedName>
    <definedName name="_xlnm.Print_Area" localSheetId="1">ヒアリングシート!$A$1:$F$76</definedName>
    <definedName name="_xlnm.Print_Area" localSheetId="2">'ヒアリングシート (記入例)'!$A$1:$H$76</definedName>
    <definedName name="_xlnm.Print_Titles" localSheetId="1">ヒアリングシート!$1:$8</definedName>
    <definedName name="_xlnm.Print_Titles" localSheetId="2">'ヒアリングシート (記入例)'!$1:$8</definedName>
    <definedName name="S1CloudEdition">選択肢!$B$23</definedName>
    <definedName name="S1HCloudEdition">選択肢!$D$23:$D$24</definedName>
    <definedName name="S3CloudEdition">選択肢!$C$23</definedName>
    <definedName name="S3HCloudEdition">選択肢!$E$23:$E$24</definedName>
    <definedName name="TOP" localSheetId="0">#REF!</definedName>
    <definedName name="TOP">#REF!</definedName>
    <definedName name="Z_B7AFF31E_0973_4A42_8575_20040B671625_.wvu.Cols" hidden="1">[1]進捗グラフ!$W$1:$X$65536</definedName>
    <definedName name="Z_FE3A60CB_C53B_4852_82D4_BC64730396AE_.wvu.Cols" hidden="1">[1]進捗グラフ!$W$1:$X$65536</definedName>
    <definedName name="オプションあり">選択肢!$B$27</definedName>
    <definedName name="オプションなし">選択肢!$C$27:$C$28</definedName>
    <definedName name="コマンドリスト" localSheetId="0">#REF!</definedName>
    <definedName name="コマンドリスト">#REF!</definedName>
    <definedName name="コマンドリスト2" localSheetId="0">#REF!</definedName>
    <definedName name="コマンドリスト2">#REF!</definedName>
    <definedName name="ホスト名のみ">選択肢!$C$39</definedName>
    <definedName name="ﾗｲﾝﾅｯﾌﾟ">[2]リスト!$E$2:$E$9</definedName>
    <definedName name="ログ解析">選択肢!$E$27:$E$28</definedName>
    <definedName name="両方">選択肢!$B$39:$B$40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35" l="1"/>
  <c r="C13" i="5"/>
  <c r="C76" i="35" l="1"/>
  <c r="D61" i="5"/>
  <c r="F61" i="5"/>
  <c r="E61" i="5"/>
  <c r="E62" i="5"/>
  <c r="D62" i="5"/>
  <c r="G64" i="35"/>
  <c r="F62" i="35"/>
  <c r="G62" i="35" s="1"/>
  <c r="F61" i="35"/>
  <c r="G61" i="35" s="1"/>
  <c r="E60" i="35"/>
  <c r="G60" i="35" s="1"/>
  <c r="F59" i="35"/>
  <c r="G59" i="35" s="1"/>
  <c r="B59" i="35"/>
  <c r="F57" i="35"/>
  <c r="F54" i="35"/>
  <c r="E54" i="35"/>
  <c r="D54" i="35"/>
  <c r="F53" i="35"/>
  <c r="E53" i="35"/>
  <c r="D53" i="35"/>
  <c r="F50" i="35"/>
  <c r="E50" i="35"/>
  <c r="D50" i="35"/>
  <c r="F49" i="35"/>
  <c r="E49" i="35"/>
  <c r="D49" i="35"/>
  <c r="F48" i="35"/>
  <c r="E48" i="35"/>
  <c r="D48" i="35"/>
  <c r="F45" i="35"/>
  <c r="E45" i="35"/>
  <c r="D45" i="35"/>
  <c r="F44" i="35"/>
  <c r="G44" i="35" s="1"/>
  <c r="E44" i="35"/>
  <c r="D44" i="35"/>
  <c r="F43" i="35"/>
  <c r="E43" i="35"/>
  <c r="D43" i="35"/>
  <c r="F42" i="35"/>
  <c r="E42" i="35"/>
  <c r="G42" i="35" s="1"/>
  <c r="D42" i="35"/>
  <c r="F41" i="35"/>
  <c r="E41" i="35"/>
  <c r="D41" i="35"/>
  <c r="G41" i="35" s="1"/>
  <c r="F39" i="35"/>
  <c r="E39" i="35"/>
  <c r="D39" i="35"/>
  <c r="G39" i="35" s="1"/>
  <c r="F38" i="35"/>
  <c r="E38" i="35"/>
  <c r="D38" i="35"/>
  <c r="F37" i="35"/>
  <c r="E37" i="35"/>
  <c r="D37" i="35"/>
  <c r="G37" i="35" s="1"/>
  <c r="D33" i="35"/>
  <c r="G33" i="35" s="1"/>
  <c r="D30" i="35"/>
  <c r="D27" i="35"/>
  <c r="C22" i="35"/>
  <c r="F22" i="35" s="1"/>
  <c r="G22" i="35" s="1"/>
  <c r="G19" i="35"/>
  <c r="F19" i="35"/>
  <c r="D17" i="35"/>
  <c r="G17" i="35" s="1"/>
  <c r="F16" i="35"/>
  <c r="G16" i="35" s="1"/>
  <c r="D16" i="35"/>
  <c r="D15" i="35"/>
  <c r="H14" i="35"/>
  <c r="F13" i="35"/>
  <c r="E13" i="35"/>
  <c r="C58" i="35"/>
  <c r="H12" i="35"/>
  <c r="F12" i="35"/>
  <c r="G12" i="35" s="1"/>
  <c r="G11" i="35"/>
  <c r="H10" i="35"/>
  <c r="F10" i="35"/>
  <c r="G10" i="35" s="1"/>
  <c r="D15" i="5"/>
  <c r="H14" i="5"/>
  <c r="H12" i="5"/>
  <c r="F14" i="5"/>
  <c r="D48" i="5"/>
  <c r="D42" i="5"/>
  <c r="F43" i="5"/>
  <c r="E43" i="5"/>
  <c r="D43" i="5"/>
  <c r="F42" i="5"/>
  <c r="E42" i="5"/>
  <c r="E39" i="5"/>
  <c r="D39" i="5"/>
  <c r="F39" i="5"/>
  <c r="AL35" i="13"/>
  <c r="G48" i="35" l="1"/>
  <c r="G53" i="35"/>
  <c r="G54" i="35"/>
  <c r="G50" i="35"/>
  <c r="G49" i="35"/>
  <c r="F58" i="35"/>
  <c r="G58" i="35" s="1"/>
  <c r="G45" i="35"/>
  <c r="D14" i="35"/>
  <c r="G43" i="35"/>
  <c r="E14" i="35"/>
  <c r="F14" i="35"/>
  <c r="G38" i="35"/>
  <c r="D13" i="35"/>
  <c r="G13" i="35" s="1"/>
  <c r="G42" i="5"/>
  <c r="G39" i="5"/>
  <c r="F50" i="5"/>
  <c r="E50" i="5"/>
  <c r="D50" i="5"/>
  <c r="F49" i="5"/>
  <c r="E49" i="5"/>
  <c r="D49" i="5"/>
  <c r="F48" i="5"/>
  <c r="E48" i="5"/>
  <c r="C58" i="5"/>
  <c r="G14" i="35" l="1"/>
  <c r="G49" i="5"/>
  <c r="G50" i="5"/>
  <c r="G48" i="5"/>
  <c r="E14" i="5"/>
  <c r="G64" i="5"/>
  <c r="F53" i="5"/>
  <c r="D33" i="5"/>
  <c r="G33" i="5" s="1"/>
  <c r="J2" i="3" a="1"/>
  <c r="J2" i="3" s="1"/>
  <c r="D16" i="5" l="1"/>
  <c r="F12" i="5" l="1"/>
  <c r="G12" i="5" s="1"/>
  <c r="C22" i="5"/>
  <c r="H10" i="5" l="1"/>
  <c r="G11" i="5"/>
  <c r="F10" i="5"/>
  <c r="G10" i="5" s="1"/>
  <c r="D54" i="5"/>
  <c r="E54" i="5"/>
  <c r="D53" i="5"/>
  <c r="J3" i="3"/>
  <c r="K3" i="3" s="1"/>
  <c r="D2" i="3" l="1" a="1"/>
  <c r="D2" i="3" l="1"/>
  <c r="D3" i="3" l="1"/>
  <c r="E3" i="3" s="1"/>
  <c r="D30" i="5"/>
  <c r="D27" i="5"/>
  <c r="F45" i="5"/>
  <c r="E45" i="5"/>
  <c r="D45" i="5"/>
  <c r="E53" i="5"/>
  <c r="G61" i="5"/>
  <c r="F16" i="5"/>
  <c r="D17" i="5"/>
  <c r="D4" i="3" l="1" a="1"/>
  <c r="D4" i="3" s="1"/>
  <c r="D5" i="3" s="1"/>
  <c r="J4" i="3" a="1"/>
  <c r="G45" i="5"/>
  <c r="D14" i="5"/>
  <c r="D13" i="5"/>
  <c r="E13" i="5"/>
  <c r="F59" i="5"/>
  <c r="F57" i="5"/>
  <c r="F58" i="5"/>
  <c r="G5" i="3" l="1"/>
  <c r="E5" i="3"/>
  <c r="F5" i="3"/>
  <c r="J4" i="3"/>
  <c r="J5" i="3" s="1"/>
  <c r="M5" i="3"/>
  <c r="L5" i="3"/>
  <c r="K5" i="3"/>
  <c r="G14" i="5"/>
  <c r="G17" i="5"/>
  <c r="F13" i="5"/>
  <c r="G13" i="5" s="1"/>
  <c r="D6" i="3" l="1"/>
  <c r="E57" i="35" s="1"/>
  <c r="G57" i="35" s="1"/>
  <c r="J6" i="3"/>
  <c r="E60" i="5"/>
  <c r="G60" i="5" s="1"/>
  <c r="E38" i="5"/>
  <c r="E41" i="5"/>
  <c r="E44" i="5"/>
  <c r="E37" i="5"/>
  <c r="D44" i="5"/>
  <c r="D41" i="5"/>
  <c r="D38" i="5"/>
  <c r="D37" i="5"/>
  <c r="F62" i="5"/>
  <c r="G62" i="5" s="1"/>
  <c r="G59" i="5"/>
  <c r="B59" i="5"/>
  <c r="G58" i="5"/>
  <c r="F54" i="5"/>
  <c r="G54" i="5" s="1"/>
  <c r="F44" i="5"/>
  <c r="F41" i="5"/>
  <c r="F38" i="5"/>
  <c r="F37" i="5"/>
  <c r="F19" i="5"/>
  <c r="G19" i="5" s="1"/>
  <c r="G16" i="5"/>
  <c r="E57" i="5" l="1"/>
  <c r="G57" i="5" s="1"/>
  <c r="G53" i="5"/>
  <c r="G44" i="5"/>
  <c r="G37" i="5"/>
  <c r="G41" i="5"/>
  <c r="G43" i="5"/>
  <c r="G38" i="5"/>
  <c r="F22" i="5"/>
  <c r="G22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<sst xmlns="http://schemas.openxmlformats.org/spreadsheetml/2006/main" count="205" uniqueCount="111">
  <si>
    <t>●メモ</t>
    <phoneticPr fontId="1"/>
  </si>
  <si>
    <t>BGPの利用</t>
    <rPh sb="4" eb="6">
      <t>リヨウ</t>
    </rPh>
    <phoneticPr fontId="2"/>
  </si>
  <si>
    <t>VPN接続方式</t>
    <rPh sb="3" eb="7">
      <t>セツゾクホウシキ</t>
    </rPh>
    <phoneticPr fontId="2"/>
  </si>
  <si>
    <t>メール受信サーバーアドレス</t>
    <rPh sb="3" eb="5">
      <t>ジュシン</t>
    </rPh>
    <phoneticPr fontId="2"/>
  </si>
  <si>
    <t>メール受信ポート</t>
    <rPh sb="3" eb="5">
      <t>ジュシン</t>
    </rPh>
    <phoneticPr fontId="2"/>
  </si>
  <si>
    <t>メール送信サーバーアドレス</t>
    <rPh sb="3" eb="5">
      <t>ソウシン</t>
    </rPh>
    <phoneticPr fontId="1"/>
  </si>
  <si>
    <t>EDRプラスパックCloud オプション</t>
  </si>
  <si>
    <t>MDM Services（A）</t>
  </si>
  <si>
    <t>台数</t>
    <rPh sb="0" eb="2">
      <t>ダイスウ</t>
    </rPh>
    <phoneticPr fontId="1"/>
  </si>
  <si>
    <t>エディション</t>
  </si>
  <si>
    <t>お客様名</t>
    <rPh sb="1" eb="4">
      <t>キャクサマメイ</t>
    </rPh>
    <phoneticPr fontId="2"/>
  </si>
  <si>
    <t>SKYSEA Client View Cloud Edition　システム構成図</t>
    <rPh sb="37" eb="40">
      <t>コウセイズ</t>
    </rPh>
    <phoneticPr fontId="2"/>
  </si>
  <si>
    <t>IPSec(固定)</t>
    <rPh sb="6" eb="8">
      <t>コテイ</t>
    </rPh>
    <phoneticPr fontId="1"/>
  </si>
  <si>
    <t>サブネット</t>
    <phoneticPr fontId="2"/>
  </si>
  <si>
    <t>マスターサーバーのポート番号</t>
    <rPh sb="12" eb="14">
      <t>バンゴウ</t>
    </rPh>
    <phoneticPr fontId="2"/>
  </si>
  <si>
    <t>記入日：</t>
    <phoneticPr fontId="1"/>
  </si>
  <si>
    <t>記入者：</t>
    <phoneticPr fontId="1"/>
  </si>
  <si>
    <r>
      <t>特権管理機能用</t>
    </r>
    <r>
      <rPr>
        <sz val="11"/>
        <rFont val="游ゴシック"/>
        <family val="3"/>
        <charset val="128"/>
        <scheme val="minor"/>
      </rPr>
      <t>インストーラーのマスターサーバー指定方法</t>
    </r>
    <rPh sb="0" eb="2">
      <t>トッケン</t>
    </rPh>
    <rPh sb="2" eb="4">
      <t>カンリ</t>
    </rPh>
    <rPh sb="4" eb="6">
      <t>キノウ</t>
    </rPh>
    <rPh sb="6" eb="7">
      <t>ヨウ</t>
    </rPh>
    <rPh sb="23" eb="25">
      <t>シテイ</t>
    </rPh>
    <rPh sb="25" eb="27">
      <t>ホウホウ</t>
    </rPh>
    <phoneticPr fontId="1"/>
  </si>
  <si>
    <t>メール送信ポート</t>
    <rPh sb="3" eb="5">
      <t>ソウシン</t>
    </rPh>
    <phoneticPr fontId="2"/>
  </si>
  <si>
    <t>VPN+HTTPS接続</t>
  </si>
  <si>
    <t>HTTPS接続のみ</t>
  </si>
  <si>
    <t>システム構成</t>
    <rPh sb="4" eb="6">
      <t>コウセイ</t>
    </rPh>
    <phoneticPr fontId="2"/>
  </si>
  <si>
    <t>データーサーバーのホスト名</t>
    <rPh sb="12" eb="13">
      <t>メイ</t>
    </rPh>
    <phoneticPr fontId="2"/>
  </si>
  <si>
    <t>IPアドレス</t>
    <phoneticPr fontId="1"/>
  </si>
  <si>
    <t>ホスト名</t>
    <rPh sb="3" eb="4">
      <t>メイ</t>
    </rPh>
    <phoneticPr fontId="1"/>
  </si>
  <si>
    <t>HTTPゲートウェイの使用</t>
    <phoneticPr fontId="1"/>
  </si>
  <si>
    <t>直接通信(TCP/IP)</t>
    <phoneticPr fontId="1"/>
  </si>
  <si>
    <t>VPNの利用</t>
    <rPh sb="4" eb="6">
      <t>リヨウ</t>
    </rPh>
    <phoneticPr fontId="1"/>
  </si>
  <si>
    <t>オプションあり</t>
  </si>
  <si>
    <t>■お客様情報</t>
    <rPh sb="2" eb="4">
      <t>キャクサマ</t>
    </rPh>
    <rPh sb="4" eb="6">
      <t>ジョウホウ</t>
    </rPh>
    <phoneticPr fontId="2"/>
  </si>
  <si>
    <t>ゲートウェイオプション</t>
    <phoneticPr fontId="1"/>
  </si>
  <si>
    <t>あり(固定)</t>
    <rPh sb="3" eb="5">
      <t>コテイ</t>
    </rPh>
    <phoneticPr fontId="1"/>
  </si>
  <si>
    <t>（ご記入は任意です）</t>
    <phoneticPr fontId="1"/>
  </si>
  <si>
    <r>
      <t xml:space="preserve">●参考情報 </t>
    </r>
    <r>
      <rPr>
        <sz val="8"/>
        <color theme="1"/>
        <rFont val="游ゴシック"/>
        <family val="3"/>
        <charset val="128"/>
        <scheme val="minor"/>
      </rPr>
      <t>※ご記入は任意です。以下の情報はSKYSEA Client Viewの設定に影響はございません。</t>
    </r>
    <rPh sb="1" eb="3">
      <t>サンコウ</t>
    </rPh>
    <rPh sb="3" eb="5">
      <t>ジョウホウ</t>
    </rPh>
    <rPh sb="8" eb="10">
      <t>キニュウ</t>
    </rPh>
    <rPh sb="11" eb="13">
      <t>ニンイ</t>
    </rPh>
    <rPh sb="16" eb="18">
      <t>イカ</t>
    </rPh>
    <rPh sb="19" eb="21">
      <t>ジョウホウ</t>
    </rPh>
    <rPh sb="41" eb="43">
      <t>セッテイ</t>
    </rPh>
    <rPh sb="44" eb="46">
      <t>エイキョウ</t>
    </rPh>
    <phoneticPr fontId="1"/>
  </si>
  <si>
    <r>
      <t xml:space="preserve">●SKYSEA Client Viewシステム情報 </t>
    </r>
    <r>
      <rPr>
        <sz val="8"/>
        <color theme="1"/>
        <rFont val="游ゴシック"/>
        <family val="3"/>
        <charset val="128"/>
        <scheme val="minor"/>
      </rPr>
      <t>※ご記入は任意です。本製品のアラートメール機能を使用する場合にご記載ください。</t>
    </r>
    <rPh sb="23" eb="25">
      <t>ジョウホウ</t>
    </rPh>
    <rPh sb="28" eb="30">
      <t>キニュウ</t>
    </rPh>
    <rPh sb="31" eb="33">
      <t>ニンイ</t>
    </rPh>
    <rPh sb="36" eb="39">
      <t>ホンセイヒン</t>
    </rPh>
    <rPh sb="47" eb="49">
      <t>キノウ</t>
    </rPh>
    <rPh sb="50" eb="52">
      <t>シヨウ</t>
    </rPh>
    <rPh sb="54" eb="56">
      <t>バアイ</t>
    </rPh>
    <rPh sb="58" eb="60">
      <t>キサイ</t>
    </rPh>
    <phoneticPr fontId="2"/>
  </si>
  <si>
    <t>（ご記入は任意です）</t>
  </si>
  <si>
    <r>
      <t xml:space="preserve">●契約内容 </t>
    </r>
    <r>
      <rPr>
        <sz val="8"/>
        <color theme="1"/>
        <rFont val="游ゴシック"/>
        <family val="3"/>
        <charset val="128"/>
        <scheme val="minor"/>
      </rPr>
      <t>※ご注文内容をご記載ください。ご不明な場合は空欄で構いません。</t>
    </r>
    <rPh sb="1" eb="5">
      <t>ケイヤクナイヨウ</t>
    </rPh>
    <rPh sb="8" eb="12">
      <t>チュウモンナイヨウ</t>
    </rPh>
    <rPh sb="14" eb="16">
      <t>キサイ</t>
    </rPh>
    <rPh sb="22" eb="24">
      <t>フメイ</t>
    </rPh>
    <rPh sb="25" eb="27">
      <t>バアイ</t>
    </rPh>
    <rPh sb="28" eb="30">
      <t>クウラン</t>
    </rPh>
    <rPh sb="31" eb="32">
      <t>カマ</t>
    </rPh>
    <phoneticPr fontId="2"/>
  </si>
  <si>
    <t>VPN接続のみ</t>
    <rPh sb="3" eb="5">
      <t>セツゾク</t>
    </rPh>
    <phoneticPr fontId="1"/>
  </si>
  <si>
    <t>52300(初期値)</t>
    <rPh sb="6" eb="9">
      <t>ショキチ</t>
    </rPh>
    <phoneticPr fontId="1"/>
  </si>
  <si>
    <t>オプション</t>
    <phoneticPr fontId="1"/>
  </si>
  <si>
    <t>オプションあり</t>
    <phoneticPr fontId="1"/>
  </si>
  <si>
    <t>オプションなし</t>
    <phoneticPr fontId="1"/>
  </si>
  <si>
    <t>https ゲートウェイ オプション</t>
    <phoneticPr fontId="1"/>
  </si>
  <si>
    <t>https ゲートウェイ経由リモート操作 オプション</t>
    <phoneticPr fontId="1"/>
  </si>
  <si>
    <t>ログ保管容量追加 オプション（1TB単位）</t>
    <phoneticPr fontId="1"/>
  </si>
  <si>
    <t>ログ解析 オプション</t>
    <phoneticPr fontId="1"/>
  </si>
  <si>
    <t>リモート操作 オプション</t>
    <phoneticPr fontId="1"/>
  </si>
  <si>
    <t>シンクライアント オプション</t>
    <phoneticPr fontId="1"/>
  </si>
  <si>
    <t>クラウドリソース追加 オプション</t>
    <rPh sb="8" eb="10">
      <t>ツイカ</t>
    </rPh>
    <phoneticPr fontId="1"/>
  </si>
  <si>
    <t>不許可端末遮断 オプション</t>
    <rPh sb="0" eb="3">
      <t>フキョカ</t>
    </rPh>
    <rPh sb="3" eb="5">
      <t>タンマツ</t>
    </rPh>
    <rPh sb="5" eb="7">
      <t>シャダン</t>
    </rPh>
    <phoneticPr fontId="1"/>
  </si>
  <si>
    <t>●Microsoft Azureネットワーク環境情報</t>
    <rPh sb="22" eb="24">
      <t>カンキョウ</t>
    </rPh>
    <rPh sb="24" eb="26">
      <t>ジョウホウ</t>
    </rPh>
    <phoneticPr fontId="2"/>
  </si>
  <si>
    <t>利用する</t>
  </si>
  <si>
    <t>SKYSEA Client View Cloud Edition　導入前ヒアリングシート</t>
    <phoneticPr fontId="1"/>
  </si>
  <si>
    <t>既定のホスト名を利用</t>
    <rPh sb="0" eb="2">
      <t>キテイ</t>
    </rPh>
    <rPh sb="6" eb="7">
      <t>メイ</t>
    </rPh>
    <rPh sb="8" eb="10">
      <t>リヨウ</t>
    </rPh>
    <phoneticPr fontId="1"/>
  </si>
  <si>
    <t>既定のホスト名を利用</t>
    <phoneticPr fontId="1"/>
  </si>
  <si>
    <t>●SKYSEA および SKYSEA Client View は、Ｓｋｙ株式会社の登録商標です。</t>
  </si>
  <si>
    <t>●その他記載されている会社名、商品名は、各社の登録商標または商標です。</t>
  </si>
  <si>
    <t>●本文中に記載されている事項の一部または全部を複写、改変、転載することは、いかなる理由、形態を問わず禁じます。</t>
  </si>
  <si>
    <t>●本文中に記載されている事項は予告なく変更することがあります。</t>
  </si>
  <si>
    <t>SKYSEA Client ViewをインストールするPCからマスターサーバーへの通信先</t>
    <rPh sb="41" eb="43">
      <t>ツウシン</t>
    </rPh>
    <rPh sb="43" eb="44">
      <t>サキ</t>
    </rPh>
    <phoneticPr fontId="2"/>
  </si>
  <si>
    <r>
      <t xml:space="preserve">SKYSEA Client ViewをインストールするPCのプライベートアドレス空間
</t>
    </r>
    <r>
      <rPr>
        <sz val="9"/>
        <color theme="1"/>
        <rFont val="游ゴシック"/>
        <family val="3"/>
        <charset val="128"/>
        <scheme val="minor"/>
      </rPr>
      <t>※記入枠が不足する場合はメモ欄に追記ください。</t>
    </r>
    <rPh sb="40" eb="42">
      <t>クウカン</t>
    </rPh>
    <rPh sb="44" eb="46">
      <t>キニュウ</t>
    </rPh>
    <rPh sb="46" eb="47">
      <t>ワク</t>
    </rPh>
    <rPh sb="48" eb="50">
      <t>フソク</t>
    </rPh>
    <rPh sb="52" eb="54">
      <t>バアイ</t>
    </rPh>
    <rPh sb="57" eb="58">
      <t>ラン</t>
    </rPh>
    <rPh sb="59" eb="61">
      <t>ツイキ</t>
    </rPh>
    <phoneticPr fontId="2"/>
  </si>
  <si>
    <t>オプションなし</t>
  </si>
  <si>
    <t>SKYSEA Client View利用時、社内のファイヤーウォールやフィルタリングソフト等へIPアドレスまたはポートを除外登録する必要がある</t>
    <rPh sb="18" eb="20">
      <t>リヨウ</t>
    </rPh>
    <rPh sb="20" eb="21">
      <t>ジ</t>
    </rPh>
    <rPh sb="22" eb="24">
      <t>シャナイ</t>
    </rPh>
    <rPh sb="45" eb="46">
      <t>トウ</t>
    </rPh>
    <phoneticPr fontId="1"/>
  </si>
  <si>
    <t>httpsゲートウェイサーバ経由(https)</t>
  </si>
  <si>
    <t>httpsゲートウェイサーバ経由(https)</t>
    <phoneticPr fontId="1"/>
  </si>
  <si>
    <r>
      <t xml:space="preserve">●VPN環境 </t>
    </r>
    <r>
      <rPr>
        <sz val="8"/>
        <color theme="1"/>
        <rFont val="游ゴシック"/>
        <family val="3"/>
        <charset val="128"/>
        <scheme val="minor"/>
      </rPr>
      <t>※システム構成で「VPN接続のみ」または「VPN＋https接続」を選択した場合のみご記入ください。</t>
    </r>
    <rPh sb="4" eb="6">
      <t>カンキョウ</t>
    </rPh>
    <rPh sb="19" eb="21">
      <t>セツゾク</t>
    </rPh>
    <rPh sb="37" eb="39">
      <t>セツゾク</t>
    </rPh>
    <rPh sb="41" eb="43">
      <t>センタク</t>
    </rPh>
    <rPh sb="45" eb="47">
      <t>バアイ</t>
    </rPh>
    <rPh sb="50" eb="52">
      <t>キニュウ</t>
    </rPh>
    <phoneticPr fontId="1"/>
  </si>
  <si>
    <t>Microsoft Azure上のファイアウォールで許可が必要な通信ポート
（通信方向：Azure→社内）</t>
    <rPh sb="15" eb="16">
      <t>ジョウ</t>
    </rPh>
    <rPh sb="26" eb="28">
      <t>キョカ</t>
    </rPh>
    <rPh sb="29" eb="31">
      <t>ヒツヨウ</t>
    </rPh>
    <rPh sb="32" eb="34">
      <t>ツウシン</t>
    </rPh>
    <rPh sb="39" eb="43">
      <t>ツウシンホウコウ</t>
    </rPh>
    <rPh sb="50" eb="52">
      <t>シャナイ</t>
    </rPh>
    <phoneticPr fontId="1"/>
  </si>
  <si>
    <t>Microsoft Azure上のファイアウォールで許可が必要な通信ポート
（通信方向：社内→Azure）</t>
    <rPh sb="44" eb="46">
      <t>シャナイ</t>
    </rPh>
    <phoneticPr fontId="1"/>
  </si>
  <si>
    <r>
      <t>●特権管理機用インストーラー</t>
    </r>
    <r>
      <rPr>
        <sz val="9"/>
        <color theme="1"/>
        <rFont val="游ゴシック"/>
        <family val="3"/>
        <charset val="128"/>
        <scheme val="minor"/>
      </rPr>
      <t>(端末機インストーラーや、サーバーのアップデートツールが利用可能な管理機)</t>
    </r>
    <rPh sb="1" eb="3">
      <t>トッケン</t>
    </rPh>
    <rPh sb="3" eb="5">
      <t>カンリ</t>
    </rPh>
    <rPh sb="5" eb="7">
      <t>キヨウ</t>
    </rPh>
    <rPh sb="15" eb="18">
      <t>タンマツキ</t>
    </rPh>
    <rPh sb="42" eb="44">
      <t>リヨウ</t>
    </rPh>
    <rPh sb="44" eb="46">
      <t>カノウ</t>
    </rPh>
    <rPh sb="47" eb="49">
      <t>カンリ</t>
    </rPh>
    <rPh sb="49" eb="50">
      <t>キ</t>
    </rPh>
    <phoneticPr fontId="1"/>
  </si>
  <si>
    <t>（ご記入は任意です）</t>
    <phoneticPr fontId="1"/>
  </si>
  <si>
    <t>↓サーバーセグメントアドレスの計算用フィールド予約</t>
    <rPh sb="15" eb="18">
      <t>ケイサンヨウ</t>
    </rPh>
    <rPh sb="23" eb="25">
      <t>ヨヤク</t>
    </rPh>
    <phoneticPr fontId="1"/>
  </si>
  <si>
    <r>
      <t xml:space="preserve">サーバーセグメントアドレス
</t>
    </r>
    <r>
      <rPr>
        <sz val="8"/>
        <color theme="1"/>
        <rFont val="游ゴシック"/>
        <family val="3"/>
        <charset val="128"/>
        <scheme val="minor"/>
      </rPr>
      <t>※セルが赤色で表示される場合はネットワークアドレス（開始アドレス）を記入しているかご確認ください。</t>
    </r>
    <rPh sb="18" eb="20">
      <t>アカイロ</t>
    </rPh>
    <rPh sb="21" eb="23">
      <t>ヒョウジ</t>
    </rPh>
    <rPh sb="40" eb="42">
      <t>カイシ</t>
    </rPh>
    <phoneticPr fontId="2"/>
  </si>
  <si>
    <t>VPN+https接続</t>
    <phoneticPr fontId="1"/>
  </si>
  <si>
    <t>https接続のみ</t>
    <phoneticPr fontId="1"/>
  </si>
  <si>
    <t>MDM Services（G）</t>
    <phoneticPr fontId="1"/>
  </si>
  <si>
    <t>紛失端末制御</t>
    <rPh sb="0" eb="2">
      <t>フンシツ</t>
    </rPh>
    <rPh sb="2" eb="4">
      <t>タンマツ</t>
    </rPh>
    <rPh sb="4" eb="6">
      <t>セイギョ</t>
    </rPh>
    <phoneticPr fontId="1"/>
  </si>
  <si>
    <t>https接続のみ</t>
  </si>
  <si>
    <t>S1 Cloud Edition</t>
    <phoneticPr fontId="1"/>
  </si>
  <si>
    <t>S3 Cloud Edition</t>
    <phoneticPr fontId="1"/>
  </si>
  <si>
    <t>S1H Cloud Edition</t>
    <phoneticPr fontId="1"/>
  </si>
  <si>
    <t>S3H Cloud Edition</t>
    <phoneticPr fontId="1"/>
  </si>
  <si>
    <t>VPN接続のみ</t>
    <phoneticPr fontId="1"/>
  </si>
  <si>
    <t>オプションあり</t>
    <phoneticPr fontId="1"/>
  </si>
  <si>
    <t>オプションなし</t>
    <phoneticPr fontId="1"/>
  </si>
  <si>
    <t>S1H Cloud Edition</t>
  </si>
  <si>
    <t>ログ解析サーバーポート</t>
    <rPh sb="2" eb="4">
      <t>カイセキ</t>
    </rPh>
    <phoneticPr fontId="1"/>
  </si>
  <si>
    <t>オプションあり</t>
    <phoneticPr fontId="1"/>
  </si>
  <si>
    <t>※マスターサーバーへの通信先でIPアドレスを選択されている場合は、インターネット経由では端末機がサーバーと通信することができません。</t>
    <rPh sb="11" eb="14">
      <t>ツウシンサキ</t>
    </rPh>
    <rPh sb="22" eb="24">
      <t>センタク</t>
    </rPh>
    <rPh sb="29" eb="31">
      <t>バアイ</t>
    </rPh>
    <rPh sb="40" eb="42">
      <t>ケイユ</t>
    </rPh>
    <rPh sb="44" eb="46">
      <t>タンマツ</t>
    </rPh>
    <rPh sb="46" eb="47">
      <t>キ</t>
    </rPh>
    <rPh sb="53" eb="55">
      <t>ツウシン</t>
    </rPh>
    <phoneticPr fontId="1"/>
  </si>
  <si>
    <t>サブネット</t>
    <phoneticPr fontId="1"/>
  </si>
  <si>
    <t>24bit</t>
    <phoneticPr fontId="1"/>
  </si>
  <si>
    <t xml:space="preserve">●httpゲートウェイ環境 </t>
    <phoneticPr fontId="1"/>
  </si>
  <si>
    <t>192.168.0.0</t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</si>
  <si>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  <scheme val="minor"/>
      </rPr>
      <t>自律システム番号/ASN</t>
    </r>
    <rPh sb="1" eb="3">
      <t>ジリツ</t>
    </rPh>
    <rPh sb="7" eb="9">
      <t>バンゴウ</t>
    </rPh>
    <phoneticPr fontId="2"/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</si>
  <si>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</rPr>
      <t>プロキシサーバー</t>
    </r>
    <phoneticPr fontId="2"/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</si>
  <si>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</rPr>
      <t>ポート番号</t>
    </r>
    <rPh sb="4" eb="6">
      <t>バンゴウ</t>
    </rPh>
    <phoneticPr fontId="2"/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</si>
  <si>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  <scheme val="minor"/>
      </rPr>
      <t>Microsoft Exchange Onlineの利用</t>
    </r>
    <rPh sb="27" eb="29">
      <t>リヨウ</t>
    </rPh>
    <phoneticPr fontId="1"/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</si>
  <si>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  <scheme val="minor"/>
      </rPr>
      <t>組織内VPNデバイスのグローバルIPアドレス</t>
    </r>
    <phoneticPr fontId="1"/>
  </si>
  <si>
    <r>
      <rPr>
        <sz val="11"/>
        <color theme="1"/>
        <rFont val="Microsoft JhengHei"/>
        <family val="3"/>
      </rPr>
      <t>┗</t>
    </r>
    <r>
      <rPr>
        <sz val="11"/>
        <color theme="1"/>
        <rFont val="游ゴシック"/>
        <family val="3"/>
        <charset val="128"/>
        <scheme val="minor"/>
      </rPr>
      <t>共有キー/PSK</t>
    </r>
    <rPh sb="1" eb="3">
      <t>キョウユウ</t>
    </rPh>
    <phoneticPr fontId="2"/>
  </si>
  <si>
    <r>
      <rPr>
        <sz val="11"/>
        <rFont val="Microsoft JhengHei"/>
        <family val="3"/>
      </rPr>
      <t>┗</t>
    </r>
    <r>
      <rPr>
        <sz val="11"/>
        <rFont val="游ゴシック"/>
        <family val="3"/>
        <charset val="128"/>
        <scheme val="minor"/>
      </rPr>
      <t>特権管理機の通信方式</t>
    </r>
    <rPh sb="1" eb="3">
      <t>トッケン</t>
    </rPh>
    <rPh sb="3" eb="5">
      <t>カンリ</t>
    </rPh>
    <rPh sb="5" eb="6">
      <t>キ</t>
    </rPh>
    <rPh sb="7" eb="9">
      <t>ツウシン</t>
    </rPh>
    <rPh sb="9" eb="11">
      <t>ホウシキ</t>
    </rPh>
    <phoneticPr fontId="1"/>
  </si>
  <si>
    <t>https://docs.microsoft.com/ja-jp/azure/vpn-gateway/vpn-gateway-about-vpn-devices</t>
    <phoneticPr fontId="1"/>
  </si>
  <si>
    <r>
      <t xml:space="preserve">　Microsoft Azureとの接続に利用するVPN装置は、下記URLに記載のある製品であることを確認済み。
もしくは、IPSecにてMicrosoft Azureと接続できる製品を利用している。
</t>
    </r>
    <r>
      <rPr>
        <b/>
        <u/>
        <sz val="10"/>
        <color rgb="FFFF0000"/>
        <rFont val="游ゴシック"/>
        <family val="3"/>
        <charset val="128"/>
        <scheme val="minor"/>
      </rPr>
      <t>※VPN装置に対してMicrosoft Azureリソースへのアクセス権を付与する事はできません</t>
    </r>
    <rPh sb="18" eb="20">
      <t>セツゾク</t>
    </rPh>
    <rPh sb="21" eb="23">
      <t>リヨウ</t>
    </rPh>
    <rPh sb="28" eb="30">
      <t>ソウチ</t>
    </rPh>
    <rPh sb="32" eb="34">
      <t>カキ</t>
    </rPh>
    <rPh sb="38" eb="40">
      <t>キサイ</t>
    </rPh>
    <rPh sb="43" eb="45">
      <t>セイヒン</t>
    </rPh>
    <rPh sb="51" eb="53">
      <t>カクニン</t>
    </rPh>
    <rPh sb="53" eb="54">
      <t>ズ</t>
    </rPh>
    <rPh sb="85" eb="87">
      <t>セツゾク</t>
    </rPh>
    <rPh sb="90" eb="92">
      <t>セイヒン</t>
    </rPh>
    <rPh sb="93" eb="95">
      <t>リヨウ</t>
    </rPh>
    <phoneticPr fontId="1"/>
  </si>
  <si>
    <t>ホスト名</t>
    <rPh sb="3" eb="4">
      <t>メイ</t>
    </rPh>
    <phoneticPr fontId="1"/>
  </si>
  <si>
    <t>IPアドレス</t>
    <phoneticPr fontId="1"/>
  </si>
  <si>
    <t>https ゲートウェイサーバを経由した通信のプロキシサーバー利用</t>
    <rPh sb="16" eb="18">
      <t>ケイユ</t>
    </rPh>
    <rPh sb="20" eb="22">
      <t>ツウシン</t>
    </rPh>
    <rPh sb="31" eb="33">
      <t>リヨウ</t>
    </rPh>
    <phoneticPr fontId="2"/>
  </si>
  <si>
    <t>10.20.30.40</t>
    <phoneticPr fontId="1"/>
  </si>
  <si>
    <t>40.30.20.10</t>
    <phoneticPr fontId="1"/>
  </si>
  <si>
    <t>proxy-sv.example.co.jp</t>
    <phoneticPr fontId="1"/>
  </si>
  <si>
    <t>　※特権管理機で利用するプロキシサーバーが上記「プロキシサーバー」で記載したプロキシサーバー以外を利用する場合は、メモ欄に記載してください。</t>
    <rPh sb="2" eb="4">
      <t>トッケン</t>
    </rPh>
    <rPh sb="4" eb="6">
      <t>カンリ</t>
    </rPh>
    <rPh sb="6" eb="7">
      <t>キ</t>
    </rPh>
    <rPh sb="8" eb="10">
      <t>リヨウ</t>
    </rPh>
    <rPh sb="21" eb="23">
      <t>ジョウキ</t>
    </rPh>
    <rPh sb="34" eb="36">
      <t>キサイ</t>
    </rPh>
    <rPh sb="46" eb="48">
      <t>イガイ</t>
    </rPh>
    <rPh sb="49" eb="51">
      <t>リヨウ</t>
    </rPh>
    <rPh sb="53" eb="55">
      <t>バアイ</t>
    </rPh>
    <rPh sb="59" eb="60">
      <t>ラン</t>
    </rPh>
    <rPh sb="61" eb="63">
      <t>キサイ</t>
    </rPh>
    <phoneticPr fontId="1"/>
  </si>
  <si>
    <t>┗Microsoft AzureとBGP接続する機器のグローバルIPアドレス(BGPネイバー)</t>
    <rPh sb="20" eb="22">
      <t>セツゾク</t>
    </rPh>
    <rPh sb="24" eb="26">
      <t>キキ</t>
    </rPh>
    <phoneticPr fontId="1"/>
  </si>
  <si>
    <t>プロキシサーバーを指定する</t>
    <rPh sb="9" eb="11">
      <t>シテイ</t>
    </rPh>
    <phoneticPr fontId="1"/>
  </si>
  <si>
    <t>プロキシサーバーを指定しない</t>
    <rPh sb="9" eb="11">
      <t>シテイ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</si>
</sst>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&quot;台&quot;"/>
    <numFmt numFmtId="177" formatCode="yyyy/mm/dd"/>
    <numFmt numFmtId="178" formatCode="0&quot;TB&quot;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8"/>
      <color theme="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sz val="11"/>
      <color theme="1"/>
      <name val="Microsoft JhengHei"/>
      <family val="3"/>
    </font>
    <font>
      <sz val="11"/>
      <name val="Microsoft JhengHei"/>
      <family val="3"/>
    </font>
    <font>
      <u/>
      <sz val="11"/>
      <color theme="10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b/>
      <u/>
      <sz val="10"/>
      <color rgb="FFFF000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double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/>
    <xf numFmtId="0" fontId="15" fillId="0" borderId="0" applyNumberForma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4" fillId="0" borderId="0" xfId="1"/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 wrapText="1"/>
    </xf>
    <xf numFmtId="0" fontId="6" fillId="2" borderId="11" xfId="0" applyFont="1" applyFill="1" applyBorder="1" applyAlignment="1">
      <alignment vertical="center" wrapText="1"/>
    </xf>
    <xf numFmtId="0" fontId="6" fillId="2" borderId="10" xfId="0" applyFont="1" applyFill="1" applyBorder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 indent="1"/>
    </xf>
    <xf numFmtId="0" fontId="6" fillId="0" borderId="6" xfId="0" applyFont="1" applyBorder="1" applyAlignment="1">
      <alignment horizontal="left" vertical="center" wrapText="1" indent="1"/>
    </xf>
    <xf numFmtId="0" fontId="6" fillId="0" borderId="5" xfId="0" applyFont="1" applyBorder="1">
      <alignment vertical="center"/>
    </xf>
    <xf numFmtId="0" fontId="6" fillId="0" borderId="2" xfId="0" applyFont="1" applyBorder="1" applyAlignment="1">
      <alignment horizontal="left" vertical="center" wrapText="1" indent="1"/>
    </xf>
    <xf numFmtId="0" fontId="6" fillId="0" borderId="0" xfId="0" applyFont="1" applyAlignment="1">
      <alignment vertical="center" wrapText="1"/>
    </xf>
    <xf numFmtId="0" fontId="0" fillId="0" borderId="0" xfId="0" applyAlignment="1"/>
    <xf numFmtId="14" fontId="6" fillId="0" borderId="0" xfId="0" applyNumberFormat="1" applyFont="1" applyAlignment="1">
      <alignment horizontal="right" vertical="center"/>
    </xf>
    <xf numFmtId="0" fontId="3" fillId="0" borderId="2" xfId="0" applyFont="1" applyBorder="1" applyAlignment="1">
      <alignment horizontal="left" vertical="center" wrapText="1" indent="1"/>
    </xf>
    <xf numFmtId="0" fontId="6" fillId="0" borderId="16" xfId="0" applyFont="1" applyBorder="1" applyAlignment="1">
      <alignment horizontal="left" vertical="center" wrapText="1" indent="1"/>
    </xf>
    <xf numFmtId="0" fontId="10" fillId="0" borderId="0" xfId="0" applyFont="1">
      <alignment vertical="center"/>
    </xf>
    <xf numFmtId="0" fontId="9" fillId="0" borderId="0" xfId="0" applyFont="1">
      <alignment vertical="center"/>
    </xf>
    <xf numFmtId="0" fontId="6" fillId="0" borderId="7" xfId="0" applyFont="1" applyBorder="1" applyProtection="1">
      <alignment vertical="center"/>
      <protection locked="0"/>
    </xf>
    <xf numFmtId="0" fontId="6" fillId="0" borderId="3" xfId="0" applyFont="1" applyBorder="1" applyProtection="1">
      <alignment vertical="center"/>
      <protection locked="0"/>
    </xf>
    <xf numFmtId="176" fontId="6" fillId="0" borderId="5" xfId="0" applyNumberFormat="1" applyFont="1" applyBorder="1" applyProtection="1">
      <alignment vertical="center"/>
      <protection locked="0"/>
    </xf>
    <xf numFmtId="0" fontId="6" fillId="0" borderId="5" xfId="0" applyFont="1" applyBorder="1" applyProtection="1">
      <alignment vertical="center"/>
      <protection locked="0"/>
    </xf>
    <xf numFmtId="0" fontId="6" fillId="0" borderId="1" xfId="0" applyFont="1" applyBorder="1" applyProtection="1">
      <alignment vertical="center"/>
      <protection locked="0"/>
    </xf>
    <xf numFmtId="14" fontId="6" fillId="0" borderId="9" xfId="0" applyNumberFormat="1" applyFont="1" applyBorder="1" applyProtection="1">
      <alignment vertical="center"/>
      <protection locked="0"/>
    </xf>
    <xf numFmtId="0" fontId="6" fillId="0" borderId="9" xfId="0" applyFont="1" applyBorder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6" fillId="0" borderId="17" xfId="0" applyFont="1" applyBorder="1" applyProtection="1">
      <alignment vertical="center"/>
      <protection locked="0"/>
    </xf>
    <xf numFmtId="0" fontId="6" fillId="2" borderId="11" xfId="0" applyFont="1" applyFill="1" applyBorder="1">
      <alignment vertical="center"/>
    </xf>
    <xf numFmtId="14" fontId="4" fillId="0" borderId="0" xfId="1" applyNumberFormat="1" applyAlignment="1">
      <alignment horizontal="right"/>
    </xf>
    <xf numFmtId="14" fontId="4" fillId="0" borderId="0" xfId="1" applyNumberFormat="1"/>
    <xf numFmtId="0" fontId="6" fillId="0" borderId="8" xfId="0" applyFont="1" applyBorder="1" applyAlignment="1">
      <alignment horizontal="left" vertical="center" wrapText="1" indent="1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18" xfId="0" applyBorder="1">
      <alignment vertical="center"/>
    </xf>
    <xf numFmtId="0" fontId="0" fillId="0" borderId="22" xfId="0" applyBorder="1">
      <alignment vertical="center"/>
    </xf>
    <xf numFmtId="0" fontId="6" fillId="0" borderId="23" xfId="0" applyFont="1" applyBorder="1" applyProtection="1">
      <alignment vertical="center"/>
      <protection locked="0"/>
    </xf>
    <xf numFmtId="0" fontId="11" fillId="0" borderId="0" xfId="0" applyFont="1">
      <alignment vertical="center"/>
    </xf>
    <xf numFmtId="0" fontId="6" fillId="3" borderId="5" xfId="0" applyFont="1" applyFill="1" applyBorder="1" applyProtection="1">
      <alignment vertical="center"/>
      <protection locked="0"/>
    </xf>
    <xf numFmtId="0" fontId="12" fillId="0" borderId="6" xfId="0" applyFont="1" applyBorder="1" applyAlignment="1">
      <alignment horizontal="left" vertical="center" wrapText="1" indent="1"/>
    </xf>
    <xf numFmtId="0" fontId="12" fillId="0" borderId="2" xfId="0" applyFont="1" applyBorder="1" applyAlignment="1">
      <alignment horizontal="left" vertical="center" wrapText="1" indent="1"/>
    </xf>
    <xf numFmtId="0" fontId="6" fillId="0" borderId="24" xfId="0" applyFont="1" applyBorder="1" applyProtection="1">
      <alignment vertical="center"/>
      <protection locked="0"/>
    </xf>
    <xf numFmtId="0" fontId="16" fillId="0" borderId="4" xfId="2" applyFont="1" applyBorder="1" applyAlignment="1">
      <alignment horizontal="left" vertical="center" wrapText="1" indent="1"/>
    </xf>
    <xf numFmtId="0" fontId="12" fillId="0" borderId="16" xfId="0" applyFont="1" applyBorder="1" applyAlignment="1">
      <alignment horizontal="left" vertical="center" wrapText="1" indent="1"/>
    </xf>
    <xf numFmtId="0" fontId="6" fillId="0" borderId="3" xfId="0" applyFont="1" applyBorder="1">
      <alignment vertical="center"/>
    </xf>
    <xf numFmtId="0" fontId="6" fillId="0" borderId="5" xfId="0" applyFont="1" applyBorder="1" applyAlignment="1" applyProtection="1">
      <alignment vertical="center" wrapText="1"/>
      <protection locked="0"/>
    </xf>
    <xf numFmtId="0" fontId="18" fillId="0" borderId="5" xfId="2" applyFont="1" applyBorder="1" applyProtection="1">
      <alignment vertical="center"/>
      <protection locked="0"/>
    </xf>
    <xf numFmtId="178" fontId="6" fillId="0" borderId="5" xfId="0" applyNumberFormat="1" applyFont="1" applyBorder="1" applyProtection="1">
      <alignment vertical="center"/>
      <protection locked="0"/>
    </xf>
    <xf numFmtId="0" fontId="6" fillId="0" borderId="25" xfId="0" applyFont="1" applyBorder="1" applyAlignment="1">
      <alignment horizontal="left" vertical="center" wrapText="1" indent="1"/>
    </xf>
    <xf numFmtId="0" fontId="6" fillId="0" borderId="26" xfId="0" applyFont="1" applyBorder="1" applyProtection="1">
      <alignment vertical="center"/>
      <protection locked="0"/>
    </xf>
    <xf numFmtId="0" fontId="7" fillId="5" borderId="0" xfId="1" applyFont="1" applyFill="1" applyAlignment="1">
      <alignment horizontal="center" vertical="center"/>
    </xf>
    <xf numFmtId="177" fontId="5" fillId="3" borderId="0" xfId="1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center" wrapText="1"/>
    </xf>
    <xf numFmtId="0" fontId="6" fillId="2" borderId="11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0" borderId="12" xfId="0" applyFont="1" applyBorder="1" applyAlignment="1" applyProtection="1">
      <alignment horizontal="left" vertical="top" wrapText="1"/>
      <protection locked="0"/>
    </xf>
    <xf numFmtId="0" fontId="6" fillId="0" borderId="13" xfId="0" applyFont="1" applyBorder="1" applyAlignment="1" applyProtection="1">
      <alignment horizontal="left" vertical="top" wrapText="1"/>
      <protection locked="0"/>
    </xf>
    <xf numFmtId="0" fontId="6" fillId="0" borderId="14" xfId="0" applyFont="1" applyBorder="1" applyAlignment="1" applyProtection="1">
      <alignment horizontal="left" vertical="top" wrapText="1"/>
      <protection locked="0"/>
    </xf>
    <xf numFmtId="0" fontId="6" fillId="0" borderId="15" xfId="0" applyFont="1" applyBorder="1" applyAlignment="1" applyProtection="1">
      <alignment horizontal="left" vertical="top" wrapText="1"/>
      <protection locked="0"/>
    </xf>
    <xf numFmtId="0" fontId="9" fillId="0" borderId="20" xfId="0" applyFont="1" applyBorder="1" applyAlignment="1">
      <alignment horizontal="left" vertical="top" wrapText="1"/>
    </xf>
  </cellXfs>
  <cellStyles count="3">
    <cellStyle name="ハイパーリンク" xfId="2" builtinId="8"/>
    <cellStyle name="標準" xfId="0" builtinId="0"/>
    <cellStyle name="標準 2" xfId="1" xr:uid="{3CF9F507-B220-48F4-AF58-10CEEEE760C3}"/>
  </cellStyles>
  <dxfs count="89">
    <dxf>
      <fill>
        <patternFill>
          <bgColor rgb="FFFF0000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1" tint="0.499984740745262"/>
        </patternFill>
      </fill>
    </dxf>
    <dxf>
      <font>
        <color theme="0" tint="-0.499984740745262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microsoft.com/office/2007/relationships/hdphoto" Target="../media/hdphoto1.wdp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306218</xdr:colOff>
      <xdr:row>4</xdr:row>
      <xdr:rowOff>20670</xdr:rowOff>
    </xdr:from>
    <xdr:to>
      <xdr:col>37</xdr:col>
      <xdr:colOff>311707</xdr:colOff>
      <xdr:row>29</xdr:row>
      <xdr:rowOff>212911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E4CF62CB-CB43-4EBA-8FD5-12040B51F224}"/>
            </a:ext>
          </a:extLst>
        </xdr:cNvPr>
        <xdr:cNvSpPr/>
      </xdr:nvSpPr>
      <xdr:spPr>
        <a:xfrm>
          <a:off x="10726568" y="569310"/>
          <a:ext cx="5341394" cy="5907241"/>
        </a:xfrm>
        <a:prstGeom prst="roundRect">
          <a:avLst>
            <a:gd name="adj" fmla="val 1851"/>
          </a:avLst>
        </a:prstGeom>
        <a:solidFill>
          <a:schemeClr val="accent5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endParaRPr kumimoji="1" lang="ja-JP" altLang="en-US" sz="1400" b="1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30</xdr:col>
      <xdr:colOff>271932</xdr:colOff>
      <xdr:row>5</xdr:row>
      <xdr:rowOff>131117</xdr:rowOff>
    </xdr:from>
    <xdr:to>
      <xdr:col>35</xdr:col>
      <xdr:colOff>435208</xdr:colOff>
      <xdr:row>13</xdr:row>
      <xdr:rowOff>22826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85EFFBA-0819-4CEF-A000-1F555AB6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937" y="915977"/>
          <a:ext cx="3498931" cy="1712889"/>
        </a:xfrm>
        <a:prstGeom prst="rect">
          <a:avLst/>
        </a:prstGeom>
      </xdr:spPr>
    </xdr:pic>
    <xdr:clientData/>
  </xdr:twoCellAnchor>
  <xdr:twoCellAnchor editAs="oneCell">
    <xdr:from>
      <xdr:col>33</xdr:col>
      <xdr:colOff>460598</xdr:colOff>
      <xdr:row>8</xdr:row>
      <xdr:rowOff>121474</xdr:rowOff>
    </xdr:from>
    <xdr:to>
      <xdr:col>34</xdr:col>
      <xdr:colOff>460215</xdr:colOff>
      <xdr:row>11</xdr:row>
      <xdr:rowOff>210768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418344-C6E0-4DF5-A388-8F0DFF16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7948" y="1590229"/>
          <a:ext cx="666367" cy="769379"/>
        </a:xfrm>
        <a:prstGeom prst="rect">
          <a:avLst/>
        </a:prstGeom>
      </xdr:spPr>
    </xdr:pic>
    <xdr:clientData/>
  </xdr:twoCellAnchor>
  <xdr:twoCellAnchor editAs="oneCell">
    <xdr:from>
      <xdr:col>31</xdr:col>
      <xdr:colOff>411502</xdr:colOff>
      <xdr:row>7</xdr:row>
      <xdr:rowOff>131056</xdr:rowOff>
    </xdr:from>
    <xdr:to>
      <xdr:col>32</xdr:col>
      <xdr:colOff>399282</xdr:colOff>
      <xdr:row>10</xdr:row>
      <xdr:rowOff>212673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4C63727-4486-4BD1-A6A6-3A58E3D1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47" y="1373116"/>
          <a:ext cx="660245" cy="759797"/>
        </a:xfrm>
        <a:prstGeom prst="rect">
          <a:avLst/>
        </a:prstGeom>
      </xdr:spPr>
    </xdr:pic>
    <xdr:clientData/>
  </xdr:twoCellAnchor>
  <xdr:twoCellAnchor editAs="oneCell">
    <xdr:from>
      <xdr:col>31</xdr:col>
      <xdr:colOff>223287</xdr:colOff>
      <xdr:row>8</xdr:row>
      <xdr:rowOff>123216</xdr:rowOff>
    </xdr:from>
    <xdr:to>
      <xdr:col>32</xdr:col>
      <xdr:colOff>35378</xdr:colOff>
      <xdr:row>12</xdr:row>
      <xdr:rowOff>18287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D90F47A-C0E2-444D-A433-1BB58E11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232" y="1591971"/>
          <a:ext cx="480746" cy="811377"/>
        </a:xfrm>
        <a:prstGeom prst="rect">
          <a:avLst/>
        </a:prstGeom>
      </xdr:spPr>
    </xdr:pic>
    <xdr:clientData/>
  </xdr:twoCellAnchor>
  <xdr:twoCellAnchor>
    <xdr:from>
      <xdr:col>29</xdr:col>
      <xdr:colOff>590222</xdr:colOff>
      <xdr:row>11</xdr:row>
      <xdr:rowOff>152440</xdr:rowOff>
    </xdr:from>
    <xdr:to>
      <xdr:col>32</xdr:col>
      <xdr:colOff>34844</xdr:colOff>
      <xdr:row>14</xdr:row>
      <xdr:rowOff>93161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BCEEBB5-2B2A-4F34-9DB7-5992F35D44A6}"/>
            </a:ext>
          </a:extLst>
        </xdr:cNvPr>
        <xdr:cNvSpPr txBox="1"/>
      </xdr:nvSpPr>
      <xdr:spPr>
        <a:xfrm>
          <a:off x="11014382" y="2305090"/>
          <a:ext cx="1441062" cy="630331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マスターサーバーや</a:t>
          </a:r>
          <a:endParaRPr kumimoji="1" lang="en-US" altLang="ja-JP" sz="1050" b="1">
            <a:solidFill>
              <a:sysClr val="windowText" lastClr="000000"/>
            </a:solidFill>
          </a:endParaRPr>
        </a:p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データサーバーなど</a:t>
          </a:r>
        </a:p>
      </xdr:txBody>
    </xdr:sp>
    <xdr:clientData/>
  </xdr:twoCellAnchor>
  <xdr:twoCellAnchor>
    <xdr:from>
      <xdr:col>32</xdr:col>
      <xdr:colOff>560294</xdr:colOff>
      <xdr:row>11</xdr:row>
      <xdr:rowOff>206398</xdr:rowOff>
    </xdr:from>
    <xdr:to>
      <xdr:col>35</xdr:col>
      <xdr:colOff>536121</xdr:colOff>
      <xdr:row>13</xdr:row>
      <xdr:rowOff>199697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A06C2BD-2BE9-46C8-BBC7-E5B16AABF3FE}"/>
            </a:ext>
          </a:extLst>
        </xdr:cNvPr>
        <xdr:cNvSpPr txBox="1"/>
      </xdr:nvSpPr>
      <xdr:spPr>
        <a:xfrm>
          <a:off x="12978989" y="2362858"/>
          <a:ext cx="1977982" cy="448594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 anchorCtr="1">
          <a:noAutofit/>
        </a:bodyPr>
        <a:lstStyle/>
        <a:p>
          <a:pPr algn="r"/>
          <a:r>
            <a:rPr kumimoji="1" lang="en-US" altLang="ja-JP" sz="1050" b="1">
              <a:solidFill>
                <a:sysClr val="windowText" lastClr="000000"/>
              </a:solidFill>
            </a:rPr>
            <a:t>https</a:t>
          </a:r>
          <a:r>
            <a:rPr kumimoji="1" lang="ja-JP" altLang="en-US" sz="1050" b="1">
              <a:solidFill>
                <a:sysClr val="windowText" lastClr="000000"/>
              </a:solidFill>
            </a:rPr>
            <a:t>ゲートウェイサーバー</a:t>
          </a:r>
        </a:p>
      </xdr:txBody>
    </xdr:sp>
    <xdr:clientData/>
  </xdr:twoCellAnchor>
  <xdr:twoCellAnchor>
    <xdr:from>
      <xdr:col>32</xdr:col>
      <xdr:colOff>516055</xdr:colOff>
      <xdr:row>9</xdr:row>
      <xdr:rowOff>53683</xdr:rowOff>
    </xdr:from>
    <xdr:to>
      <xdr:col>33</xdr:col>
      <xdr:colOff>287343</xdr:colOff>
      <xdr:row>11</xdr:row>
      <xdr:rowOff>16000</xdr:rowOff>
    </xdr:to>
    <xdr:sp macro="" textlink="">
      <xdr:nvSpPr>
        <xdr:cNvPr id="9" name="加算記号 8">
          <a:extLst>
            <a:ext uri="{FF2B5EF4-FFF2-40B4-BE49-F238E27FC236}">
              <a16:creationId xmlns:a16="http://schemas.microsoft.com/office/drawing/2014/main" id="{37F1B820-68D7-47AF-BEA8-D6C0E31B9C3F}"/>
            </a:ext>
          </a:extLst>
        </xdr:cNvPr>
        <xdr:cNvSpPr/>
      </xdr:nvSpPr>
      <xdr:spPr>
        <a:xfrm>
          <a:off x="12932845" y="1752943"/>
          <a:ext cx="438038" cy="419517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615420</xdr:colOff>
      <xdr:row>4</xdr:row>
      <xdr:rowOff>181557</xdr:rowOff>
    </xdr:from>
    <xdr:to>
      <xdr:col>32</xdr:col>
      <xdr:colOff>410689</xdr:colOff>
      <xdr:row>6</xdr:row>
      <xdr:rowOff>168671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5F335B0-BB69-4C19-A0A1-80E4162B3F53}"/>
            </a:ext>
          </a:extLst>
        </xdr:cNvPr>
        <xdr:cNvSpPr txBox="1"/>
      </xdr:nvSpPr>
      <xdr:spPr>
        <a:xfrm>
          <a:off x="11037675" y="732102"/>
          <a:ext cx="1791709" cy="450029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en-US" altLang="ja-JP" sz="1800" b="1">
              <a:solidFill>
                <a:schemeClr val="accent1"/>
              </a:solidFill>
            </a:rPr>
            <a:t>Microsoft</a:t>
          </a:r>
          <a:r>
            <a:rPr kumimoji="1" lang="ja-JP" altLang="en-US" sz="1800" b="1">
              <a:solidFill>
                <a:schemeClr val="accent1"/>
              </a:solidFill>
            </a:rPr>
            <a:t> </a:t>
          </a:r>
          <a:r>
            <a:rPr kumimoji="1" lang="en-US" altLang="ja-JP" sz="1800" b="1">
              <a:solidFill>
                <a:schemeClr val="accent1"/>
              </a:solidFill>
            </a:rPr>
            <a:t>Azure</a:t>
          </a:r>
          <a:endParaRPr kumimoji="1" lang="ja-JP" altLang="en-US" sz="1800" b="1">
            <a:solidFill>
              <a:schemeClr val="accent1"/>
            </a:solidFill>
          </a:endParaRPr>
        </a:p>
      </xdr:txBody>
    </xdr:sp>
    <xdr:clientData/>
  </xdr:twoCellAnchor>
  <xdr:twoCellAnchor>
    <xdr:from>
      <xdr:col>30</xdr:col>
      <xdr:colOff>78996</xdr:colOff>
      <xdr:row>3</xdr:row>
      <xdr:rowOff>95448</xdr:rowOff>
    </xdr:from>
    <xdr:to>
      <xdr:col>37</xdr:col>
      <xdr:colOff>99661</xdr:colOff>
      <xdr:row>4</xdr:row>
      <xdr:rowOff>211727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1FA56761-8F67-42FD-891B-117C94E77586}"/>
            </a:ext>
          </a:extLst>
        </xdr:cNvPr>
        <xdr:cNvSpPr/>
      </xdr:nvSpPr>
      <xdr:spPr>
        <a:xfrm>
          <a:off x="11166096" y="415488"/>
          <a:ext cx="4684105" cy="344879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https</a:t>
          </a:r>
          <a:r>
            <a:rPr kumimoji="1" lang="ja-JP" altLang="en-US" sz="2000" b="1"/>
            <a:t>接続のみ</a:t>
          </a:r>
        </a:p>
      </xdr:txBody>
    </xdr:sp>
    <xdr:clientData/>
  </xdr:twoCellAnchor>
  <xdr:twoCellAnchor>
    <xdr:from>
      <xdr:col>33</xdr:col>
      <xdr:colOff>163</xdr:colOff>
      <xdr:row>13</xdr:row>
      <xdr:rowOff>19016</xdr:rowOff>
    </xdr:from>
    <xdr:to>
      <xdr:col>33</xdr:col>
      <xdr:colOff>3916</xdr:colOff>
      <xdr:row>21</xdr:row>
      <xdr:rowOff>211584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958FEC7B-A548-4714-B412-E0390D4B288D}"/>
            </a:ext>
          </a:extLst>
        </xdr:cNvPr>
        <xdr:cNvCxnSpPr>
          <a:cxnSpLocks/>
          <a:stCxn id="3" idx="2"/>
        </xdr:cNvCxnSpPr>
      </xdr:nvCxnSpPr>
      <xdr:spPr>
        <a:xfrm>
          <a:off x="13087513" y="2632676"/>
          <a:ext cx="5658" cy="2013748"/>
        </a:xfrm>
        <a:prstGeom prst="line">
          <a:avLst/>
        </a:prstGeom>
        <a:ln w="76200"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654508</xdr:colOff>
      <xdr:row>15</xdr:row>
      <xdr:rowOff>54749</xdr:rowOff>
    </xdr:from>
    <xdr:to>
      <xdr:col>34</xdr:col>
      <xdr:colOff>50834</xdr:colOff>
      <xdr:row>16</xdr:row>
      <xdr:rowOff>167314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CA11D11A-DEAD-4B5C-8271-C7C5D475DD55}"/>
            </a:ext>
          </a:extLst>
        </xdr:cNvPr>
        <xdr:cNvSpPr/>
      </xdr:nvSpPr>
      <xdr:spPr>
        <a:xfrm>
          <a:off x="12410263" y="3125609"/>
          <a:ext cx="1398481" cy="341165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b="1"/>
            <a:t>https</a:t>
          </a:r>
          <a:r>
            <a:rPr kumimoji="1" lang="ja-JP" altLang="en-US" sz="1600" b="1"/>
            <a:t>接続</a:t>
          </a:r>
        </a:p>
      </xdr:txBody>
    </xdr:sp>
    <xdr:clientData/>
  </xdr:twoCellAnchor>
  <xdr:twoCellAnchor>
    <xdr:from>
      <xdr:col>33</xdr:col>
      <xdr:colOff>618680</xdr:colOff>
      <xdr:row>14</xdr:row>
      <xdr:rowOff>168531</xdr:rowOff>
    </xdr:from>
    <xdr:to>
      <xdr:col>34</xdr:col>
      <xdr:colOff>533506</xdr:colOff>
      <xdr:row>17</xdr:row>
      <xdr:rowOff>55495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54C1F83-7188-4E7E-B9E8-EB6FFD481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7935" y="3010791"/>
          <a:ext cx="579671" cy="572764"/>
        </a:xfrm>
        <a:prstGeom prst="rect">
          <a:avLst/>
        </a:prstGeom>
      </xdr:spPr>
    </xdr:pic>
    <xdr:clientData/>
  </xdr:twoCellAnchor>
  <xdr:twoCellAnchor>
    <xdr:from>
      <xdr:col>33</xdr:col>
      <xdr:colOff>15731</xdr:colOff>
      <xdr:row>17</xdr:row>
      <xdr:rowOff>170655</xdr:rowOff>
    </xdr:from>
    <xdr:to>
      <xdr:col>35</xdr:col>
      <xdr:colOff>483886</xdr:colOff>
      <xdr:row>21</xdr:row>
      <xdr:rowOff>179956</xdr:rowOff>
    </xdr:to>
    <xdr:cxnSp macro="">
      <xdr:nvCxnSpPr>
        <xdr:cNvPr id="15" name="直線コネクタ 38">
          <a:extLst>
            <a:ext uri="{FF2B5EF4-FFF2-40B4-BE49-F238E27FC236}">
              <a16:creationId xmlns:a16="http://schemas.microsoft.com/office/drawing/2014/main" id="{7B0D7D85-C447-464E-92FD-208C8C6A12B6}"/>
            </a:ext>
          </a:extLst>
        </xdr:cNvPr>
        <xdr:cNvCxnSpPr>
          <a:cxnSpLocks/>
          <a:endCxn id="70" idx="0"/>
        </xdr:cNvCxnSpPr>
      </xdr:nvCxnSpPr>
      <xdr:spPr>
        <a:xfrm>
          <a:off x="13106891" y="3698715"/>
          <a:ext cx="1795940" cy="917986"/>
        </a:xfrm>
        <a:prstGeom prst="bentConnector2">
          <a:avLst/>
        </a:prstGeom>
        <a:ln w="76200"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276331</xdr:colOff>
      <xdr:row>4</xdr:row>
      <xdr:rowOff>16860</xdr:rowOff>
    </xdr:from>
    <xdr:to>
      <xdr:col>29</xdr:col>
      <xdr:colOff>45081</xdr:colOff>
      <xdr:row>29</xdr:row>
      <xdr:rowOff>209101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ADB0115C-345F-4877-AE57-27F16308DFEB}"/>
            </a:ext>
          </a:extLst>
        </xdr:cNvPr>
        <xdr:cNvSpPr/>
      </xdr:nvSpPr>
      <xdr:spPr>
        <a:xfrm>
          <a:off x="5135986" y="573120"/>
          <a:ext cx="5331350" cy="5907241"/>
        </a:xfrm>
        <a:prstGeom prst="roundRect">
          <a:avLst>
            <a:gd name="adj" fmla="val 1851"/>
          </a:avLst>
        </a:prstGeom>
        <a:solidFill>
          <a:schemeClr val="accent5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endParaRPr kumimoji="1" lang="ja-JP" altLang="en-US" sz="1400" b="1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17</xdr:col>
      <xdr:colOff>263173</xdr:colOff>
      <xdr:row>5</xdr:row>
      <xdr:rowOff>134927</xdr:rowOff>
    </xdr:from>
    <xdr:to>
      <xdr:col>27</xdr:col>
      <xdr:colOff>168583</xdr:colOff>
      <xdr:row>13</xdr:row>
      <xdr:rowOff>19016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5D62066-7AC0-4E4F-99F0-7733C9D4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623" y="912167"/>
          <a:ext cx="3490620" cy="1720509"/>
        </a:xfrm>
        <a:prstGeom prst="rect">
          <a:avLst/>
        </a:prstGeom>
      </xdr:spPr>
    </xdr:pic>
    <xdr:clientData/>
  </xdr:twoCellAnchor>
  <xdr:twoCellAnchor>
    <xdr:from>
      <xdr:col>17</xdr:col>
      <xdr:colOff>753</xdr:colOff>
      <xdr:row>21</xdr:row>
      <xdr:rowOff>207774</xdr:rowOff>
    </xdr:from>
    <xdr:to>
      <xdr:col>26</xdr:col>
      <xdr:colOff>11206</xdr:colOff>
      <xdr:row>29</xdr:row>
      <xdr:rowOff>133451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7CBDADA8-378B-45AA-90A3-D0065A0ADB76}"/>
            </a:ext>
          </a:extLst>
        </xdr:cNvPr>
        <xdr:cNvSpPr/>
      </xdr:nvSpPr>
      <xdr:spPr>
        <a:xfrm>
          <a:off x="5506203" y="4650234"/>
          <a:ext cx="2927008" cy="1746857"/>
        </a:xfrm>
        <a:prstGeom prst="roundRect">
          <a:avLst>
            <a:gd name="adj" fmla="val 8013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r>
            <a:rPr kumimoji="1" lang="ja-JP" altLang="en-US" sz="1400" b="1">
              <a:solidFill>
                <a:schemeClr val="accent4">
                  <a:lumMod val="50000"/>
                </a:schemeClr>
              </a:solidFill>
            </a:rPr>
            <a:t>お客様ネットワーク</a:t>
          </a:r>
        </a:p>
      </xdr:txBody>
    </xdr:sp>
    <xdr:clientData/>
  </xdr:twoCellAnchor>
  <xdr:twoCellAnchor editAs="oneCell">
    <xdr:from>
      <xdr:col>24</xdr:col>
      <xdr:colOff>174748</xdr:colOff>
      <xdr:row>8</xdr:row>
      <xdr:rowOff>121474</xdr:rowOff>
    </xdr:from>
    <xdr:to>
      <xdr:col>26</xdr:col>
      <xdr:colOff>191684</xdr:colOff>
      <xdr:row>11</xdr:row>
      <xdr:rowOff>206958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0810A24-7D50-4615-88A6-F4F9E2A8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338" y="1590229"/>
          <a:ext cx="668446" cy="773189"/>
        </a:xfrm>
        <a:prstGeom prst="rect">
          <a:avLst/>
        </a:prstGeom>
      </xdr:spPr>
    </xdr:pic>
    <xdr:clientData/>
  </xdr:twoCellAnchor>
  <xdr:twoCellAnchor editAs="oneCell">
    <xdr:from>
      <xdr:col>20</xdr:col>
      <xdr:colOff>104351</xdr:colOff>
      <xdr:row>7</xdr:row>
      <xdr:rowOff>134866</xdr:rowOff>
    </xdr:from>
    <xdr:to>
      <xdr:col>22</xdr:col>
      <xdr:colOff>130404</xdr:colOff>
      <xdr:row>10</xdr:row>
      <xdr:rowOff>208863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3B47676-D4FA-41BA-8ACE-D2F95F92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446" y="1369306"/>
          <a:ext cx="679468" cy="767417"/>
        </a:xfrm>
        <a:prstGeom prst="rect">
          <a:avLst/>
        </a:prstGeom>
      </xdr:spPr>
    </xdr:pic>
    <xdr:clientData/>
  </xdr:twoCellAnchor>
  <xdr:twoCellAnchor>
    <xdr:from>
      <xdr:col>21</xdr:col>
      <xdr:colOff>315156</xdr:colOff>
      <xdr:row>24</xdr:row>
      <xdr:rowOff>139765</xdr:rowOff>
    </xdr:from>
    <xdr:to>
      <xdr:col>24</xdr:col>
      <xdr:colOff>212223</xdr:colOff>
      <xdr:row>27</xdr:row>
      <xdr:rowOff>64400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09D8712-AC91-480A-A617-1B6039208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7911" y="5260405"/>
          <a:ext cx="862902" cy="610435"/>
        </a:xfrm>
        <a:prstGeom prst="rect">
          <a:avLst/>
        </a:prstGeom>
      </xdr:spPr>
    </xdr:pic>
    <xdr:clientData/>
  </xdr:twoCellAnchor>
  <xdr:twoCellAnchor>
    <xdr:from>
      <xdr:col>22</xdr:col>
      <xdr:colOff>302961</xdr:colOff>
      <xdr:row>25</xdr:row>
      <xdr:rowOff>98091</xdr:rowOff>
    </xdr:from>
    <xdr:to>
      <xdr:col>25</xdr:col>
      <xdr:colOff>207902</xdr:colOff>
      <xdr:row>28</xdr:row>
      <xdr:rowOff>64679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9A02DDB-098E-4060-94A9-38011C95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7661" y="5447331"/>
          <a:ext cx="880301" cy="652388"/>
        </a:xfrm>
        <a:prstGeom prst="rect">
          <a:avLst/>
        </a:prstGeom>
      </xdr:spPr>
    </xdr:pic>
    <xdr:clientData/>
  </xdr:twoCellAnchor>
  <xdr:twoCellAnchor>
    <xdr:from>
      <xdr:col>17</xdr:col>
      <xdr:colOff>145983</xdr:colOff>
      <xdr:row>24</xdr:row>
      <xdr:rowOff>96694</xdr:rowOff>
    </xdr:from>
    <xdr:to>
      <xdr:col>21</xdr:col>
      <xdr:colOff>194256</xdr:colOff>
      <xdr:row>28</xdr:row>
      <xdr:rowOff>134875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A9DB4EAF-67EA-4D3C-855E-C4F8C922D9DD}"/>
            </a:ext>
          </a:extLst>
        </xdr:cNvPr>
        <xdr:cNvGrpSpPr/>
      </xdr:nvGrpSpPr>
      <xdr:grpSpPr>
        <a:xfrm>
          <a:off x="5811453" y="5674534"/>
          <a:ext cx="1383678" cy="952581"/>
          <a:chOff x="7522114" y="6616830"/>
          <a:chExt cx="1344239" cy="927033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FEC2E23A-1743-3CC0-279A-D9182B1CEF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2114" y="6616830"/>
            <a:ext cx="1344239" cy="927033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0D752D25-6F24-51F1-A99F-7658A43424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782213" y="6713754"/>
            <a:ext cx="830811" cy="452256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149425</xdr:colOff>
      <xdr:row>28</xdr:row>
      <xdr:rowOff>132349</xdr:rowOff>
    </xdr:from>
    <xdr:to>
      <xdr:col>25</xdr:col>
      <xdr:colOff>246898</xdr:colOff>
      <xdr:row>29</xdr:row>
      <xdr:rowOff>129547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16DC1DD-778D-40E0-A58E-1D34E52FF159}"/>
            </a:ext>
          </a:extLst>
        </xdr:cNvPr>
        <xdr:cNvSpPr txBox="1"/>
      </xdr:nvSpPr>
      <xdr:spPr>
        <a:xfrm>
          <a:off x="5978725" y="6175009"/>
          <a:ext cx="2368233" cy="225798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管理機や端末機など</a:t>
          </a:r>
        </a:p>
      </xdr:txBody>
    </xdr:sp>
    <xdr:clientData/>
  </xdr:twoCellAnchor>
  <xdr:twoCellAnchor editAs="oneCell">
    <xdr:from>
      <xdr:col>16</xdr:col>
      <xdr:colOff>176014</xdr:colOff>
      <xdr:row>20</xdr:row>
      <xdr:rowOff>56036</xdr:rowOff>
    </xdr:from>
    <xdr:to>
      <xdr:col>18</xdr:col>
      <xdr:colOff>169441</xdr:colOff>
      <xdr:row>24</xdr:row>
      <xdr:rowOff>18789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A3B7B59-F3AF-4B0F-82C9-8EABE959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53804" y="4269896"/>
          <a:ext cx="648747" cy="877153"/>
        </a:xfrm>
        <a:prstGeom prst="rect">
          <a:avLst/>
        </a:prstGeom>
      </xdr:spPr>
    </xdr:pic>
    <xdr:clientData/>
  </xdr:twoCellAnchor>
  <xdr:twoCellAnchor editAs="oneCell">
    <xdr:from>
      <xdr:col>19</xdr:col>
      <xdr:colOff>243276</xdr:colOff>
      <xdr:row>8</xdr:row>
      <xdr:rowOff>123216</xdr:rowOff>
    </xdr:from>
    <xdr:to>
      <xdr:col>21</xdr:col>
      <xdr:colOff>59350</xdr:colOff>
      <xdr:row>12</xdr:row>
      <xdr:rowOff>20192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C78BC2B-C3C0-48DE-B223-BAB96C7B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236" y="1591971"/>
          <a:ext cx="456154" cy="805662"/>
        </a:xfrm>
        <a:prstGeom prst="rect">
          <a:avLst/>
        </a:prstGeom>
      </xdr:spPr>
    </xdr:pic>
    <xdr:clientData/>
  </xdr:twoCellAnchor>
  <xdr:twoCellAnchor>
    <xdr:from>
      <xdr:col>16</xdr:col>
      <xdr:colOff>102839</xdr:colOff>
      <xdr:row>11</xdr:row>
      <xdr:rowOff>152440</xdr:rowOff>
    </xdr:from>
    <xdr:to>
      <xdr:col>20</xdr:col>
      <xdr:colOff>255601</xdr:colOff>
      <xdr:row>14</xdr:row>
      <xdr:rowOff>95066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F9A52A9A-5C68-4B99-B051-B2D511A05935}"/>
            </a:ext>
          </a:extLst>
        </xdr:cNvPr>
        <xdr:cNvSpPr txBox="1"/>
      </xdr:nvSpPr>
      <xdr:spPr>
        <a:xfrm>
          <a:off x="5280629" y="2305090"/>
          <a:ext cx="1450067" cy="632236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マスターサーバーや</a:t>
          </a:r>
          <a:endParaRPr kumimoji="1" lang="en-US" altLang="ja-JP" sz="1050" b="1">
            <a:solidFill>
              <a:sysClr val="windowText" lastClr="000000"/>
            </a:solidFill>
          </a:endParaRPr>
        </a:p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データサーバーなど</a:t>
          </a:r>
        </a:p>
      </xdr:txBody>
    </xdr:sp>
    <xdr:clientData/>
  </xdr:twoCellAnchor>
  <xdr:twoCellAnchor>
    <xdr:from>
      <xdr:col>22</xdr:col>
      <xdr:colOff>260029</xdr:colOff>
      <xdr:row>11</xdr:row>
      <xdr:rowOff>210208</xdr:rowOff>
    </xdr:from>
    <xdr:to>
      <xdr:col>27</xdr:col>
      <xdr:colOff>265576</xdr:colOff>
      <xdr:row>13</xdr:row>
      <xdr:rowOff>199697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2946F24-7099-4E4A-892E-FDA1240E4F4D}"/>
            </a:ext>
          </a:extLst>
        </xdr:cNvPr>
        <xdr:cNvSpPr txBox="1"/>
      </xdr:nvSpPr>
      <xdr:spPr>
        <a:xfrm>
          <a:off x="7382824" y="2359048"/>
          <a:ext cx="1969602" cy="452404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 anchorCtr="1">
          <a:noAutofit/>
        </a:bodyPr>
        <a:lstStyle/>
        <a:p>
          <a:pPr algn="r"/>
          <a:r>
            <a:rPr kumimoji="1" lang="en-US" altLang="ja-JP" sz="1050" b="1">
              <a:solidFill>
                <a:sysClr val="windowText" lastClr="000000"/>
              </a:solidFill>
            </a:rPr>
            <a:t>https</a:t>
          </a:r>
          <a:r>
            <a:rPr kumimoji="1" lang="ja-JP" altLang="en-US" sz="1050" b="1">
              <a:solidFill>
                <a:sysClr val="windowText" lastClr="000000"/>
              </a:solidFill>
            </a:rPr>
            <a:t>ゲートウェイサーバー</a:t>
          </a:r>
        </a:p>
      </xdr:txBody>
    </xdr:sp>
    <xdr:clientData/>
  </xdr:twoCellAnchor>
  <xdr:twoCellAnchor>
    <xdr:from>
      <xdr:col>22</xdr:col>
      <xdr:colOff>216697</xdr:colOff>
      <xdr:row>9</xdr:row>
      <xdr:rowOff>57493</xdr:rowOff>
    </xdr:from>
    <xdr:to>
      <xdr:col>24</xdr:col>
      <xdr:colOff>9113</xdr:colOff>
      <xdr:row>11</xdr:row>
      <xdr:rowOff>19810</xdr:rowOff>
    </xdr:to>
    <xdr:sp macro="" textlink="">
      <xdr:nvSpPr>
        <xdr:cNvPr id="31" name="加算記号 30">
          <a:extLst>
            <a:ext uri="{FF2B5EF4-FFF2-40B4-BE49-F238E27FC236}">
              <a16:creationId xmlns:a16="http://schemas.microsoft.com/office/drawing/2014/main" id="{86923896-6D26-4E11-A47F-6244D4E5FAF3}"/>
            </a:ext>
          </a:extLst>
        </xdr:cNvPr>
        <xdr:cNvSpPr/>
      </xdr:nvSpPr>
      <xdr:spPr>
        <a:xfrm>
          <a:off x="7337587" y="1749133"/>
          <a:ext cx="445831" cy="419517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260298</xdr:colOff>
      <xdr:row>4</xdr:row>
      <xdr:rowOff>179652</xdr:rowOff>
    </xdr:from>
    <xdr:to>
      <xdr:col>22</xdr:col>
      <xdr:colOff>115141</xdr:colOff>
      <xdr:row>6</xdr:row>
      <xdr:rowOff>172481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3296ECC1-C8B0-4576-A356-E7A2405EB084}"/>
            </a:ext>
          </a:extLst>
        </xdr:cNvPr>
        <xdr:cNvSpPr txBox="1"/>
      </xdr:nvSpPr>
      <xdr:spPr>
        <a:xfrm>
          <a:off x="5439993" y="730197"/>
          <a:ext cx="1799848" cy="448124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en-US" altLang="ja-JP" sz="1800" b="1">
              <a:solidFill>
                <a:schemeClr val="accent1"/>
              </a:solidFill>
            </a:rPr>
            <a:t>Microsoft</a:t>
          </a:r>
          <a:r>
            <a:rPr kumimoji="1" lang="ja-JP" altLang="en-US" sz="1800" b="1">
              <a:solidFill>
                <a:schemeClr val="accent1"/>
              </a:solidFill>
            </a:rPr>
            <a:t> </a:t>
          </a:r>
          <a:r>
            <a:rPr kumimoji="1" lang="en-US" altLang="ja-JP" sz="1800" b="1">
              <a:solidFill>
                <a:schemeClr val="accent1"/>
              </a:solidFill>
            </a:rPr>
            <a:t>Azure</a:t>
          </a:r>
          <a:endParaRPr kumimoji="1" lang="ja-JP" altLang="en-US" sz="1800" b="1">
            <a:solidFill>
              <a:schemeClr val="accent1"/>
            </a:solidFill>
          </a:endParaRPr>
        </a:p>
      </xdr:txBody>
    </xdr:sp>
    <xdr:clientData/>
  </xdr:twoCellAnchor>
  <xdr:twoCellAnchor>
    <xdr:from>
      <xdr:col>17</xdr:col>
      <xdr:colOff>80801</xdr:colOff>
      <xdr:row>3</xdr:row>
      <xdr:rowOff>91638</xdr:rowOff>
    </xdr:from>
    <xdr:to>
      <xdr:col>28</xdr:col>
      <xdr:colOff>526629</xdr:colOff>
      <xdr:row>4</xdr:row>
      <xdr:rowOff>207917</xdr:rowOff>
    </xdr:to>
    <xdr:sp macro="" textlink="">
      <xdr:nvSpPr>
        <xdr:cNvPr id="33" name="四角形: 角を丸くする 32">
          <a:extLst>
            <a:ext uri="{FF2B5EF4-FFF2-40B4-BE49-F238E27FC236}">
              <a16:creationId xmlns:a16="http://schemas.microsoft.com/office/drawing/2014/main" id="{374BCF8B-980A-4D30-A81B-609D6D44BA32}"/>
            </a:ext>
          </a:extLst>
        </xdr:cNvPr>
        <xdr:cNvSpPr/>
      </xdr:nvSpPr>
      <xdr:spPr>
        <a:xfrm>
          <a:off x="5588156" y="419298"/>
          <a:ext cx="4690168" cy="344879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VPN+https</a:t>
          </a:r>
          <a:r>
            <a:rPr kumimoji="1" lang="ja-JP" altLang="en-US" sz="2000" b="1"/>
            <a:t>接続</a:t>
          </a:r>
        </a:p>
      </xdr:txBody>
    </xdr:sp>
    <xdr:clientData/>
  </xdr:twoCellAnchor>
  <xdr:twoCellAnchor>
    <xdr:from>
      <xdr:col>21</xdr:col>
      <xdr:colOff>217307</xdr:colOff>
      <xdr:row>13</xdr:row>
      <xdr:rowOff>19016</xdr:rowOff>
    </xdr:from>
    <xdr:to>
      <xdr:col>21</xdr:col>
      <xdr:colOff>217307</xdr:colOff>
      <xdr:row>21</xdr:row>
      <xdr:rowOff>211584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56521C2A-EB28-4770-AC6C-0D9D45E63065}"/>
            </a:ext>
          </a:extLst>
        </xdr:cNvPr>
        <xdr:cNvCxnSpPr/>
      </xdr:nvCxnSpPr>
      <xdr:spPr>
        <a:xfrm>
          <a:off x="7016252" y="2632676"/>
          <a:ext cx="0" cy="2013748"/>
        </a:xfrm>
        <a:prstGeom prst="line">
          <a:avLst/>
        </a:prstGeom>
        <a:ln w="76200">
          <a:solidFill>
            <a:schemeClr val="bg2">
              <a:lumMod val="75000"/>
            </a:schemeClr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265972</xdr:colOff>
      <xdr:row>16</xdr:row>
      <xdr:rowOff>15762</xdr:rowOff>
    </xdr:from>
    <xdr:to>
      <xdr:col>24</xdr:col>
      <xdr:colOff>189207</xdr:colOff>
      <xdr:row>18</xdr:row>
      <xdr:rowOff>132142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6946268F-2AD0-4B84-A57C-4E298B9F08C8}"/>
            </a:ext>
          </a:extLst>
        </xdr:cNvPr>
        <xdr:cNvGrpSpPr/>
      </xdr:nvGrpSpPr>
      <xdr:grpSpPr>
        <a:xfrm>
          <a:off x="6266722" y="3772422"/>
          <a:ext cx="1923485" cy="573580"/>
          <a:chOff x="8853938" y="6477436"/>
          <a:chExt cx="1862006" cy="577536"/>
        </a:xfrm>
      </xdr:grpSpPr>
      <xdr:sp macro="" textlink="">
        <xdr:nvSpPr>
          <xdr:cNvPr id="36" name="四角形: 角を丸くする 35">
            <a:extLst>
              <a:ext uri="{FF2B5EF4-FFF2-40B4-BE49-F238E27FC236}">
                <a16:creationId xmlns:a16="http://schemas.microsoft.com/office/drawing/2014/main" id="{FD0D4B64-9DEC-7AB9-FD29-AEB7430ECCCF}"/>
              </a:ext>
            </a:extLst>
          </xdr:cNvPr>
          <xdr:cNvSpPr/>
        </xdr:nvSpPr>
        <xdr:spPr>
          <a:xfrm>
            <a:off x="9322797" y="6594289"/>
            <a:ext cx="1393147" cy="334302"/>
          </a:xfrm>
          <a:prstGeom prst="round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/>
              <a:t>VPN</a:t>
            </a:r>
            <a:r>
              <a:rPr kumimoji="1" lang="ja-JP" altLang="en-US" sz="1600"/>
              <a:t>接続</a:t>
            </a:r>
          </a:p>
        </xdr:txBody>
      </xdr:sp>
      <xdr:pic>
        <xdr:nvPicPr>
          <xdr:cNvPr id="37" name="図 36">
            <a:extLst>
              <a:ext uri="{FF2B5EF4-FFF2-40B4-BE49-F238E27FC236}">
                <a16:creationId xmlns:a16="http://schemas.microsoft.com/office/drawing/2014/main" id="{3A742CFA-0F27-8C22-D575-AB6282AD6B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53938" y="6477436"/>
            <a:ext cx="588094" cy="577536"/>
          </a:xfrm>
          <a:prstGeom prst="rect">
            <a:avLst/>
          </a:prstGeom>
        </xdr:spPr>
      </xdr:pic>
    </xdr:grpSp>
    <xdr:clientData/>
  </xdr:twoCellAnchor>
  <xdr:twoCellAnchor>
    <xdr:from>
      <xdr:col>26</xdr:col>
      <xdr:colOff>95618</xdr:colOff>
      <xdr:row>21</xdr:row>
      <xdr:rowOff>183766</xdr:rowOff>
    </xdr:from>
    <xdr:to>
      <xdr:col>28</xdr:col>
      <xdr:colOff>627529</xdr:colOff>
      <xdr:row>29</xdr:row>
      <xdr:rowOff>134470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9E33B35A-16D1-480E-BD0E-1C2D6BC43CF0}"/>
            </a:ext>
          </a:extLst>
        </xdr:cNvPr>
        <xdr:cNvSpPr/>
      </xdr:nvSpPr>
      <xdr:spPr>
        <a:xfrm>
          <a:off x="8511908" y="4620511"/>
          <a:ext cx="1873031" cy="1777599"/>
        </a:xfrm>
        <a:prstGeom prst="roundRect">
          <a:avLst>
            <a:gd name="adj" fmla="val 8013"/>
          </a:avLst>
        </a:prstGeom>
        <a:solidFill>
          <a:schemeClr val="bg2"/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r>
            <a:rPr kumimoji="1" lang="ja-JP" altLang="en-US" sz="1400" b="1">
              <a:solidFill>
                <a:schemeClr val="accent4">
                  <a:lumMod val="50000"/>
                </a:schemeClr>
              </a:solidFill>
            </a:rPr>
            <a:t>社外ネットワーク</a:t>
          </a:r>
        </a:p>
      </xdr:txBody>
    </xdr:sp>
    <xdr:clientData/>
  </xdr:twoCellAnchor>
  <xdr:twoCellAnchor>
    <xdr:from>
      <xdr:col>26</xdr:col>
      <xdr:colOff>614689</xdr:colOff>
      <xdr:row>25</xdr:row>
      <xdr:rowOff>70411</xdr:rowOff>
    </xdr:from>
    <xdr:to>
      <xdr:col>28</xdr:col>
      <xdr:colOff>151874</xdr:colOff>
      <xdr:row>28</xdr:row>
      <xdr:rowOff>25570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505FF02-38FD-4D3D-8B49-277623F2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694" y="5421556"/>
          <a:ext cx="868780" cy="639054"/>
        </a:xfrm>
        <a:prstGeom prst="rect">
          <a:avLst/>
        </a:prstGeom>
      </xdr:spPr>
    </xdr:pic>
    <xdr:clientData/>
  </xdr:twoCellAnchor>
  <xdr:twoCellAnchor>
    <xdr:from>
      <xdr:col>25</xdr:col>
      <xdr:colOff>89647</xdr:colOff>
      <xdr:row>12</xdr:row>
      <xdr:rowOff>212912</xdr:rowOff>
    </xdr:from>
    <xdr:to>
      <xdr:col>27</xdr:col>
      <xdr:colOff>361574</xdr:colOff>
      <xdr:row>21</xdr:row>
      <xdr:rowOff>181861</xdr:rowOff>
    </xdr:to>
    <xdr:cxnSp macro="">
      <xdr:nvCxnSpPr>
        <xdr:cNvPr id="40" name="直線コネクタ 38">
          <a:extLst>
            <a:ext uri="{FF2B5EF4-FFF2-40B4-BE49-F238E27FC236}">
              <a16:creationId xmlns:a16="http://schemas.microsoft.com/office/drawing/2014/main" id="{A729BBCA-56FA-4D24-9FC5-9A9BCA9C11CC}"/>
            </a:ext>
          </a:extLst>
        </xdr:cNvPr>
        <xdr:cNvCxnSpPr>
          <a:endCxn id="38" idx="0"/>
        </xdr:cNvCxnSpPr>
      </xdr:nvCxnSpPr>
      <xdr:spPr>
        <a:xfrm rot="16200000" flipH="1">
          <a:off x="7806844" y="2973215"/>
          <a:ext cx="2028254" cy="1262527"/>
        </a:xfrm>
        <a:prstGeom prst="bentConnector3">
          <a:avLst>
            <a:gd name="adj1" fmla="val 50000"/>
          </a:avLst>
        </a:prstGeom>
        <a:ln w="76200"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196124</xdr:colOff>
      <xdr:row>4</xdr:row>
      <xdr:rowOff>20670</xdr:rowOff>
    </xdr:from>
    <xdr:to>
      <xdr:col>14</xdr:col>
      <xdr:colOff>325905</xdr:colOff>
      <xdr:row>29</xdr:row>
      <xdr:rowOff>212911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BA958EBE-99D4-4981-9C57-141289AA1BD1}"/>
            </a:ext>
          </a:extLst>
        </xdr:cNvPr>
        <xdr:cNvSpPr/>
      </xdr:nvSpPr>
      <xdr:spPr>
        <a:xfrm>
          <a:off x="196124" y="1042646"/>
          <a:ext cx="4773499" cy="6019300"/>
        </a:xfrm>
        <a:prstGeom prst="roundRect">
          <a:avLst>
            <a:gd name="adj" fmla="val 1851"/>
          </a:avLst>
        </a:prstGeom>
        <a:solidFill>
          <a:schemeClr val="accent5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endParaRPr kumimoji="1" lang="ja-JP" altLang="en-US" sz="1400" b="1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167824</xdr:colOff>
      <xdr:row>5</xdr:row>
      <xdr:rowOff>134927</xdr:rowOff>
    </xdr:from>
    <xdr:to>
      <xdr:col>13</xdr:col>
      <xdr:colOff>60567</xdr:colOff>
      <xdr:row>13</xdr:row>
      <xdr:rowOff>19016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E78A895-6EB4-443E-BF62-101A610A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34" y="912167"/>
          <a:ext cx="3447473" cy="1720509"/>
        </a:xfrm>
        <a:prstGeom prst="rect">
          <a:avLst/>
        </a:prstGeom>
      </xdr:spPr>
    </xdr:pic>
    <xdr:clientData/>
  </xdr:twoCellAnchor>
  <xdr:twoCellAnchor>
    <xdr:from>
      <xdr:col>1</xdr:col>
      <xdr:colOff>230845</xdr:colOff>
      <xdr:row>21</xdr:row>
      <xdr:rowOff>207774</xdr:rowOff>
    </xdr:from>
    <xdr:to>
      <xdr:col>14</xdr:col>
      <xdr:colOff>5165</xdr:colOff>
      <xdr:row>29</xdr:row>
      <xdr:rowOff>133451</xdr:rowOff>
    </xdr:to>
    <xdr:sp macro="" textlink="">
      <xdr:nvSpPr>
        <xdr:cNvPr id="43" name="四角形: 角を丸くする 42">
          <a:extLst>
            <a:ext uri="{FF2B5EF4-FFF2-40B4-BE49-F238E27FC236}">
              <a16:creationId xmlns:a16="http://schemas.microsoft.com/office/drawing/2014/main" id="{E7A96BAE-15A0-4287-A35E-84F883A946D4}"/>
            </a:ext>
          </a:extLst>
        </xdr:cNvPr>
        <xdr:cNvSpPr/>
      </xdr:nvSpPr>
      <xdr:spPr>
        <a:xfrm>
          <a:off x="554695" y="4650234"/>
          <a:ext cx="3986275" cy="1746857"/>
        </a:xfrm>
        <a:prstGeom prst="roundRect">
          <a:avLst>
            <a:gd name="adj" fmla="val 8013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r>
            <a:rPr kumimoji="1" lang="ja-JP" altLang="en-US" sz="1400" b="1">
              <a:solidFill>
                <a:schemeClr val="accent4">
                  <a:lumMod val="50000"/>
                </a:schemeClr>
              </a:solidFill>
            </a:rPr>
            <a:t>お客様ネットワーク</a:t>
          </a:r>
        </a:p>
      </xdr:txBody>
    </xdr:sp>
    <xdr:clientData/>
  </xdr:twoCellAnchor>
  <xdr:twoCellAnchor editAs="oneCell">
    <xdr:from>
      <xdr:col>7</xdr:col>
      <xdr:colOff>74431</xdr:colOff>
      <xdr:row>7</xdr:row>
      <xdr:rowOff>131056</xdr:rowOff>
    </xdr:from>
    <xdr:to>
      <xdr:col>9</xdr:col>
      <xdr:colOff>96773</xdr:colOff>
      <xdr:row>10</xdr:row>
      <xdr:rowOff>212673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A17B4BE-9C13-4AD5-BF03-36AF9C97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381" y="1373116"/>
          <a:ext cx="666232" cy="759797"/>
        </a:xfrm>
        <a:prstGeom prst="rect">
          <a:avLst/>
        </a:prstGeom>
      </xdr:spPr>
    </xdr:pic>
    <xdr:clientData/>
  </xdr:twoCellAnchor>
  <xdr:twoCellAnchor>
    <xdr:from>
      <xdr:col>7</xdr:col>
      <xdr:colOff>239440</xdr:colOff>
      <xdr:row>24</xdr:row>
      <xdr:rowOff>139765</xdr:rowOff>
    </xdr:from>
    <xdr:to>
      <xdr:col>10</xdr:col>
      <xdr:colOff>126346</xdr:colOff>
      <xdr:row>27</xdr:row>
      <xdr:rowOff>64400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EECB2FEC-50EA-4A5D-82F7-6B0A641C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95" y="5260405"/>
          <a:ext cx="860361" cy="610435"/>
        </a:xfrm>
        <a:prstGeom prst="rect">
          <a:avLst/>
        </a:prstGeom>
      </xdr:spPr>
    </xdr:pic>
    <xdr:clientData/>
  </xdr:twoCellAnchor>
  <xdr:twoCellAnchor>
    <xdr:from>
      <xdr:col>8</xdr:col>
      <xdr:colOff>222965</xdr:colOff>
      <xdr:row>25</xdr:row>
      <xdr:rowOff>101901</xdr:rowOff>
    </xdr:from>
    <xdr:to>
      <xdr:col>11</xdr:col>
      <xdr:colOff>130215</xdr:colOff>
      <xdr:row>28</xdr:row>
      <xdr:rowOff>66584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D8E0748-0B71-4173-8FDE-75D960B48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1860" y="5451141"/>
          <a:ext cx="884515" cy="652388"/>
        </a:xfrm>
        <a:prstGeom prst="rect">
          <a:avLst/>
        </a:prstGeom>
      </xdr:spPr>
    </xdr:pic>
    <xdr:clientData/>
  </xdr:twoCellAnchor>
  <xdr:twoCellAnchor>
    <xdr:from>
      <xdr:col>3</xdr:col>
      <xdr:colOff>77425</xdr:colOff>
      <xdr:row>24</xdr:row>
      <xdr:rowOff>92884</xdr:rowOff>
    </xdr:from>
    <xdr:to>
      <xdr:col>7</xdr:col>
      <xdr:colOff>133516</xdr:colOff>
      <xdr:row>28</xdr:row>
      <xdr:rowOff>131065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F5FF6C1D-6F21-4CA3-96B4-BE2905D70E9A}"/>
            </a:ext>
          </a:extLst>
        </xdr:cNvPr>
        <xdr:cNvGrpSpPr/>
      </xdr:nvGrpSpPr>
      <xdr:grpSpPr>
        <a:xfrm>
          <a:off x="1077550" y="5678344"/>
          <a:ext cx="1385781" cy="952581"/>
          <a:chOff x="7522114" y="6616830"/>
          <a:chExt cx="1344239" cy="927033"/>
        </a:xfrm>
      </xdr:grpSpPr>
      <xdr:pic>
        <xdr:nvPicPr>
          <xdr:cNvPr id="48" name="図 47">
            <a:extLst>
              <a:ext uri="{FF2B5EF4-FFF2-40B4-BE49-F238E27FC236}">
                <a16:creationId xmlns:a16="http://schemas.microsoft.com/office/drawing/2014/main" id="{56E0B23A-8B33-D1B0-8C4D-C95A2AC2F7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2114" y="6616830"/>
            <a:ext cx="1344239" cy="927033"/>
          </a:xfrm>
          <a:prstGeom prst="rect">
            <a:avLst/>
          </a:prstGeom>
        </xdr:spPr>
      </xdr:pic>
      <xdr:pic>
        <xdr:nvPicPr>
          <xdr:cNvPr id="49" name="図 48">
            <a:extLst>
              <a:ext uri="{FF2B5EF4-FFF2-40B4-BE49-F238E27FC236}">
                <a16:creationId xmlns:a16="http://schemas.microsoft.com/office/drawing/2014/main" id="{0E947158-38C2-B3C9-A1D5-CEF266083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782213" y="6713754"/>
            <a:ext cx="830811" cy="45225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78492</xdr:colOff>
      <xdr:row>28</xdr:row>
      <xdr:rowOff>136159</xdr:rowOff>
    </xdr:from>
    <xdr:to>
      <xdr:col>11</xdr:col>
      <xdr:colOff>161591</xdr:colOff>
      <xdr:row>29</xdr:row>
      <xdr:rowOff>133357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FAC62F31-008A-4F57-AF5C-A0AEE1A1FD36}"/>
            </a:ext>
          </a:extLst>
        </xdr:cNvPr>
        <xdr:cNvSpPr txBox="1"/>
      </xdr:nvSpPr>
      <xdr:spPr>
        <a:xfrm>
          <a:off x="1373892" y="6171199"/>
          <a:ext cx="2351954" cy="225798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管理機や端末機など</a:t>
          </a:r>
        </a:p>
      </xdr:txBody>
    </xdr:sp>
    <xdr:clientData/>
  </xdr:twoCellAnchor>
  <xdr:twoCellAnchor editAs="oneCell">
    <xdr:from>
      <xdr:col>1</xdr:col>
      <xdr:colOff>90660</xdr:colOff>
      <xdr:row>20</xdr:row>
      <xdr:rowOff>54131</xdr:rowOff>
    </xdr:from>
    <xdr:to>
      <xdr:col>3</xdr:col>
      <xdr:colOff>95617</xdr:colOff>
      <xdr:row>24</xdr:row>
      <xdr:rowOff>18789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76A5E82-B858-408D-AE7F-77D91FA5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8320" y="4267991"/>
          <a:ext cx="645037" cy="879058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211450</xdr:colOff>
      <xdr:row>8</xdr:row>
      <xdr:rowOff>123216</xdr:rowOff>
    </xdr:from>
    <xdr:to>
      <xdr:col>8</xdr:col>
      <xdr:colOff>55030</xdr:colOff>
      <xdr:row>12</xdr:row>
      <xdr:rowOff>16382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7727F03A-6B39-4DA9-8006-63A8D26B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740" y="1591971"/>
          <a:ext cx="491280" cy="809472"/>
        </a:xfrm>
        <a:prstGeom prst="rect">
          <a:avLst/>
        </a:prstGeom>
      </xdr:spPr>
    </xdr:pic>
    <xdr:clientData/>
  </xdr:twoCellAnchor>
  <xdr:twoCellAnchor>
    <xdr:from>
      <xdr:col>2</xdr:col>
      <xdr:colOff>137245</xdr:colOff>
      <xdr:row>9</xdr:row>
      <xdr:rowOff>17970</xdr:rowOff>
    </xdr:from>
    <xdr:to>
      <xdr:col>6</xdr:col>
      <xdr:colOff>284793</xdr:colOff>
      <xdr:row>11</xdr:row>
      <xdr:rowOff>188523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833D3780-FD78-45A8-80BD-14842CD2421F}"/>
            </a:ext>
          </a:extLst>
        </xdr:cNvPr>
        <xdr:cNvSpPr txBox="1"/>
      </xdr:nvSpPr>
      <xdr:spPr>
        <a:xfrm>
          <a:off x="781135" y="1717230"/>
          <a:ext cx="1450568" cy="623943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マスターサーバーや</a:t>
          </a:r>
          <a:endParaRPr kumimoji="1" lang="en-US" altLang="ja-JP" sz="1050" b="1">
            <a:solidFill>
              <a:sysClr val="windowText" lastClr="000000"/>
            </a:solidFill>
          </a:endParaRPr>
        </a:p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データサーバーなど</a:t>
          </a:r>
        </a:p>
      </xdr:txBody>
    </xdr:sp>
    <xdr:clientData/>
  </xdr:twoCellAnchor>
  <xdr:twoCellAnchor>
    <xdr:from>
      <xdr:col>1</xdr:col>
      <xdr:colOff>173039</xdr:colOff>
      <xdr:row>4</xdr:row>
      <xdr:rowOff>177747</xdr:rowOff>
    </xdr:from>
    <xdr:to>
      <xdr:col>7</xdr:col>
      <xdr:colOff>19990</xdr:colOff>
      <xdr:row>6</xdr:row>
      <xdr:rowOff>172481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597E166A-E6E3-46F2-9195-DC26186ED32C}"/>
            </a:ext>
          </a:extLst>
        </xdr:cNvPr>
        <xdr:cNvSpPr txBox="1"/>
      </xdr:nvSpPr>
      <xdr:spPr>
        <a:xfrm>
          <a:off x="493079" y="726387"/>
          <a:ext cx="1790051" cy="451934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en-US" altLang="ja-JP" sz="1800" b="1">
              <a:solidFill>
                <a:schemeClr val="accent1"/>
              </a:solidFill>
            </a:rPr>
            <a:t>Microsoft</a:t>
          </a:r>
          <a:r>
            <a:rPr kumimoji="1" lang="ja-JP" altLang="en-US" sz="1800" b="1">
              <a:solidFill>
                <a:schemeClr val="accent1"/>
              </a:solidFill>
            </a:rPr>
            <a:t> </a:t>
          </a:r>
          <a:r>
            <a:rPr kumimoji="1" lang="en-US" altLang="ja-JP" sz="1800" b="1">
              <a:solidFill>
                <a:schemeClr val="accent1"/>
              </a:solidFill>
            </a:rPr>
            <a:t>Azure</a:t>
          </a:r>
          <a:endParaRPr kumimoji="1" lang="ja-JP" altLang="en-US" sz="1800" b="1">
            <a:solidFill>
              <a:schemeClr val="accent1"/>
            </a:solidFill>
          </a:endParaRPr>
        </a:p>
      </xdr:txBody>
    </xdr:sp>
    <xdr:clientData/>
  </xdr:twoCellAnchor>
  <xdr:twoCellAnchor>
    <xdr:from>
      <xdr:col>1</xdr:col>
      <xdr:colOff>315834</xdr:colOff>
      <xdr:row>3</xdr:row>
      <xdr:rowOff>95448</xdr:rowOff>
    </xdr:from>
    <xdr:to>
      <xdr:col>13</xdr:col>
      <xdr:colOff>160712</xdr:colOff>
      <xdr:row>4</xdr:row>
      <xdr:rowOff>211727</xdr:rowOff>
    </xdr:to>
    <xdr:sp macro="" textlink="">
      <xdr:nvSpPr>
        <xdr:cNvPr id="55" name="四角形: 角を丸くする 54">
          <a:extLst>
            <a:ext uri="{FF2B5EF4-FFF2-40B4-BE49-F238E27FC236}">
              <a16:creationId xmlns:a16="http://schemas.microsoft.com/office/drawing/2014/main" id="{3122F013-B2AB-4FCA-AA38-C31C8E8C9022}"/>
            </a:ext>
          </a:extLst>
        </xdr:cNvPr>
        <xdr:cNvSpPr/>
      </xdr:nvSpPr>
      <xdr:spPr>
        <a:xfrm>
          <a:off x="641589" y="415488"/>
          <a:ext cx="3731078" cy="344879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VPN</a:t>
          </a:r>
          <a:r>
            <a:rPr kumimoji="1" lang="ja-JP" altLang="en-US" sz="2000" b="1"/>
            <a:t>接続のみ</a:t>
          </a:r>
        </a:p>
      </xdr:txBody>
    </xdr:sp>
    <xdr:clientData/>
  </xdr:twoCellAnchor>
  <xdr:twoCellAnchor>
    <xdr:from>
      <xdr:col>7</xdr:col>
      <xdr:colOff>277823</xdr:colOff>
      <xdr:row>13</xdr:row>
      <xdr:rowOff>22826</xdr:rowOff>
    </xdr:from>
    <xdr:to>
      <xdr:col>7</xdr:col>
      <xdr:colOff>285386</xdr:colOff>
      <xdr:row>21</xdr:row>
      <xdr:rowOff>207774</xdr:rowOff>
    </xdr:to>
    <xdr:cxnSp macro="">
      <xdr:nvCxnSpPr>
        <xdr:cNvPr id="56" name="直線コネクタ 55">
          <a:extLst>
            <a:ext uri="{FF2B5EF4-FFF2-40B4-BE49-F238E27FC236}">
              <a16:creationId xmlns:a16="http://schemas.microsoft.com/office/drawing/2014/main" id="{F7E4516B-A744-4687-85E6-BAD9D4B58FF8}"/>
            </a:ext>
          </a:extLst>
        </xdr:cNvPr>
        <xdr:cNvCxnSpPr>
          <a:stCxn id="42" idx="2"/>
          <a:endCxn id="43" idx="0"/>
        </xdr:cNvCxnSpPr>
      </xdr:nvCxnSpPr>
      <xdr:spPr>
        <a:xfrm>
          <a:off x="2546678" y="2628866"/>
          <a:ext cx="9468" cy="2021368"/>
        </a:xfrm>
        <a:prstGeom prst="line">
          <a:avLst/>
        </a:prstGeom>
        <a:ln w="76200">
          <a:solidFill>
            <a:schemeClr val="bg2">
              <a:lumMod val="75000"/>
            </a:schemeClr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9242</xdr:colOff>
      <xdr:row>15</xdr:row>
      <xdr:rowOff>20753</xdr:rowOff>
    </xdr:from>
    <xdr:to>
      <xdr:col>10</xdr:col>
      <xdr:colOff>250390</xdr:colOff>
      <xdr:row>17</xdr:row>
      <xdr:rowOff>131834</xdr:rowOff>
    </xdr:to>
    <xdr:grpSp>
      <xdr:nvGrpSpPr>
        <xdr:cNvPr id="57" name="グループ化 56">
          <a:extLst>
            <a:ext uri="{FF2B5EF4-FFF2-40B4-BE49-F238E27FC236}">
              <a16:creationId xmlns:a16="http://schemas.microsoft.com/office/drawing/2014/main" id="{6855CAB8-9A92-4BC1-9B9D-40BD907111B0}"/>
            </a:ext>
          </a:extLst>
        </xdr:cNvPr>
        <xdr:cNvGrpSpPr/>
      </xdr:nvGrpSpPr>
      <xdr:grpSpPr>
        <a:xfrm>
          <a:off x="1678022" y="3541193"/>
          <a:ext cx="1902308" cy="575901"/>
          <a:chOff x="8853938" y="6477436"/>
          <a:chExt cx="1862006" cy="577536"/>
        </a:xfrm>
      </xdr:grpSpPr>
      <xdr:sp macro="" textlink="">
        <xdr:nvSpPr>
          <xdr:cNvPr id="58" name="四角形: 角を丸くする 57">
            <a:extLst>
              <a:ext uri="{FF2B5EF4-FFF2-40B4-BE49-F238E27FC236}">
                <a16:creationId xmlns:a16="http://schemas.microsoft.com/office/drawing/2014/main" id="{A53884D5-0DE1-EFC5-7D0C-8E0EFC6A9E67}"/>
              </a:ext>
            </a:extLst>
          </xdr:cNvPr>
          <xdr:cNvSpPr/>
        </xdr:nvSpPr>
        <xdr:spPr>
          <a:xfrm>
            <a:off x="9322797" y="6594289"/>
            <a:ext cx="1393147" cy="334302"/>
          </a:xfrm>
          <a:prstGeom prst="round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/>
              <a:t>VPN</a:t>
            </a:r>
            <a:r>
              <a:rPr kumimoji="1" lang="ja-JP" altLang="en-US" sz="1600"/>
              <a:t>接続</a:t>
            </a:r>
          </a:p>
        </xdr:txBody>
      </xdr:sp>
      <xdr:pic>
        <xdr:nvPicPr>
          <xdr:cNvPr id="59" name="図 58">
            <a:extLst>
              <a:ext uri="{FF2B5EF4-FFF2-40B4-BE49-F238E27FC236}">
                <a16:creationId xmlns:a16="http://schemas.microsoft.com/office/drawing/2014/main" id="{5212C34C-AC0F-5751-B867-7DEACE93AE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53938" y="6477436"/>
            <a:ext cx="588094" cy="577536"/>
          </a:xfrm>
          <a:prstGeom prst="rect">
            <a:avLst/>
          </a:prstGeom>
        </xdr:spPr>
      </xdr:pic>
    </xdr:grpSp>
    <xdr:clientData/>
  </xdr:twoCellAnchor>
  <xdr:twoCellAnchor>
    <xdr:from>
      <xdr:col>24</xdr:col>
      <xdr:colOff>289528</xdr:colOff>
      <xdr:row>16</xdr:row>
      <xdr:rowOff>118590</xdr:rowOff>
    </xdr:from>
    <xdr:to>
      <xdr:col>27</xdr:col>
      <xdr:colOff>377431</xdr:colOff>
      <xdr:row>17</xdr:row>
      <xdr:rowOff>222046</xdr:rowOff>
    </xdr:to>
    <xdr:sp macro="" textlink="">
      <xdr:nvSpPr>
        <xdr:cNvPr id="60" name="四角形: 角を丸くする 59">
          <a:extLst>
            <a:ext uri="{FF2B5EF4-FFF2-40B4-BE49-F238E27FC236}">
              <a16:creationId xmlns:a16="http://schemas.microsoft.com/office/drawing/2014/main" id="{E594ABAC-3463-45E4-B9DE-9F7E8F7705A2}"/>
            </a:ext>
          </a:extLst>
        </xdr:cNvPr>
        <xdr:cNvSpPr/>
      </xdr:nvSpPr>
      <xdr:spPr>
        <a:xfrm>
          <a:off x="8058118" y="3416145"/>
          <a:ext cx="1406163" cy="328246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b="1"/>
            <a:t>https</a:t>
          </a:r>
          <a:r>
            <a:rPr kumimoji="1" lang="ja-JP" altLang="en-US" sz="1600" b="1"/>
            <a:t>接続</a:t>
          </a:r>
        </a:p>
      </xdr:txBody>
    </xdr:sp>
    <xdr:clientData/>
  </xdr:twoCellAnchor>
  <xdr:twoCellAnchor>
    <xdr:from>
      <xdr:col>27</xdr:col>
      <xdr:colOff>269114</xdr:colOff>
      <xdr:row>16</xdr:row>
      <xdr:rowOff>1050</xdr:rowOff>
    </xdr:from>
    <xdr:to>
      <xdr:col>28</xdr:col>
      <xdr:colOff>182036</xdr:colOff>
      <xdr:row>18</xdr:row>
      <xdr:rowOff>111717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10B3287B-850C-4FD4-A7EB-61BB7209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964" y="3296700"/>
          <a:ext cx="577767" cy="567867"/>
        </a:xfrm>
        <a:prstGeom prst="rect">
          <a:avLst/>
        </a:prstGeom>
      </xdr:spPr>
    </xdr:pic>
    <xdr:clientData/>
  </xdr:twoCellAnchor>
  <xdr:twoCellAnchor>
    <xdr:from>
      <xdr:col>29</xdr:col>
      <xdr:colOff>561048</xdr:colOff>
      <xdr:row>21</xdr:row>
      <xdr:rowOff>211584</xdr:rowOff>
    </xdr:from>
    <xdr:to>
      <xdr:col>34</xdr:col>
      <xdr:colOff>136376</xdr:colOff>
      <xdr:row>29</xdr:row>
      <xdr:rowOff>129641</xdr:rowOff>
    </xdr:to>
    <xdr:sp macro="" textlink="">
      <xdr:nvSpPr>
        <xdr:cNvPr id="62" name="四角形: 角を丸くする 61">
          <a:extLst>
            <a:ext uri="{FF2B5EF4-FFF2-40B4-BE49-F238E27FC236}">
              <a16:creationId xmlns:a16="http://schemas.microsoft.com/office/drawing/2014/main" id="{F3D90122-0B84-461F-B39D-76CB2FE612E5}"/>
            </a:ext>
          </a:extLst>
        </xdr:cNvPr>
        <xdr:cNvSpPr/>
      </xdr:nvSpPr>
      <xdr:spPr>
        <a:xfrm>
          <a:off x="10979493" y="4646424"/>
          <a:ext cx="2907173" cy="1754477"/>
        </a:xfrm>
        <a:prstGeom prst="roundRect">
          <a:avLst>
            <a:gd name="adj" fmla="val 8013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r>
            <a:rPr kumimoji="1" lang="ja-JP" altLang="en-US" sz="1400" b="1">
              <a:solidFill>
                <a:schemeClr val="accent4">
                  <a:lumMod val="50000"/>
                </a:schemeClr>
              </a:solidFill>
            </a:rPr>
            <a:t>お客様ネットワーク</a:t>
          </a:r>
        </a:p>
      </xdr:txBody>
    </xdr:sp>
    <xdr:clientData/>
  </xdr:twoCellAnchor>
  <xdr:twoCellAnchor>
    <xdr:from>
      <xdr:col>32</xdr:col>
      <xdr:colOff>160179</xdr:colOff>
      <xdr:row>24</xdr:row>
      <xdr:rowOff>135955</xdr:rowOff>
    </xdr:from>
    <xdr:to>
      <xdr:col>33</xdr:col>
      <xdr:colOff>354090</xdr:colOff>
      <xdr:row>27</xdr:row>
      <xdr:rowOff>60590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D4B1BA0C-E612-4AA4-BADF-7F0661353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684" y="5256595"/>
          <a:ext cx="860661" cy="610435"/>
        </a:xfrm>
        <a:prstGeom prst="rect">
          <a:avLst/>
        </a:prstGeom>
      </xdr:spPr>
    </xdr:pic>
    <xdr:clientData/>
  </xdr:twoCellAnchor>
  <xdr:twoCellAnchor>
    <xdr:from>
      <xdr:col>32</xdr:col>
      <xdr:colOff>471050</xdr:colOff>
      <xdr:row>25</xdr:row>
      <xdr:rowOff>94281</xdr:rowOff>
    </xdr:from>
    <xdr:to>
      <xdr:col>34</xdr:col>
      <xdr:colOff>10007</xdr:colOff>
      <xdr:row>28</xdr:row>
      <xdr:rowOff>60869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222857AE-EFEE-4617-B30D-4A165C8A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5460" y="5451141"/>
          <a:ext cx="870552" cy="644768"/>
        </a:xfrm>
        <a:prstGeom prst="rect">
          <a:avLst/>
        </a:prstGeom>
      </xdr:spPr>
    </xdr:pic>
    <xdr:clientData/>
  </xdr:twoCellAnchor>
  <xdr:twoCellAnchor>
    <xdr:from>
      <xdr:col>30</xdr:col>
      <xdr:colOff>32020</xdr:colOff>
      <xdr:row>24</xdr:row>
      <xdr:rowOff>92884</xdr:rowOff>
    </xdr:from>
    <xdr:to>
      <xdr:col>32</xdr:col>
      <xdr:colOff>37374</xdr:colOff>
      <xdr:row>28</xdr:row>
      <xdr:rowOff>131065</xdr:rowOff>
    </xdr:to>
    <xdr:grpSp>
      <xdr:nvGrpSpPr>
        <xdr:cNvPr id="65" name="グループ化 64">
          <a:extLst>
            <a:ext uri="{FF2B5EF4-FFF2-40B4-BE49-F238E27FC236}">
              <a16:creationId xmlns:a16="http://schemas.microsoft.com/office/drawing/2014/main" id="{CDE10719-241A-4D19-A066-4EE7902C647F}"/>
            </a:ext>
          </a:extLst>
        </xdr:cNvPr>
        <xdr:cNvGrpSpPr/>
      </xdr:nvGrpSpPr>
      <xdr:grpSpPr>
        <a:xfrm>
          <a:off x="11402965" y="5678344"/>
          <a:ext cx="1359809" cy="952581"/>
          <a:chOff x="7522114" y="6616830"/>
          <a:chExt cx="1344239" cy="927033"/>
        </a:xfrm>
      </xdr:grpSpPr>
      <xdr:pic>
        <xdr:nvPicPr>
          <xdr:cNvPr id="66" name="図 65">
            <a:extLst>
              <a:ext uri="{FF2B5EF4-FFF2-40B4-BE49-F238E27FC236}">
                <a16:creationId xmlns:a16="http://schemas.microsoft.com/office/drawing/2014/main" id="{F632A21B-8FDE-E5B4-1988-0A2277C9A3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2114" y="6616830"/>
            <a:ext cx="1344239" cy="927033"/>
          </a:xfrm>
          <a:prstGeom prst="rect">
            <a:avLst/>
          </a:prstGeom>
        </xdr:spPr>
      </xdr:pic>
      <xdr:pic>
        <xdr:nvPicPr>
          <xdr:cNvPr id="67" name="図 66">
            <a:extLst>
              <a:ext uri="{FF2B5EF4-FFF2-40B4-BE49-F238E27FC236}">
                <a16:creationId xmlns:a16="http://schemas.microsoft.com/office/drawing/2014/main" id="{71B73A02-D51F-980B-C27E-CC22F67B12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782213" y="6713754"/>
            <a:ext cx="830811" cy="452256"/>
          </a:xfrm>
          <a:prstGeom prst="rect">
            <a:avLst/>
          </a:prstGeom>
        </xdr:spPr>
      </xdr:pic>
    </xdr:grpSp>
    <xdr:clientData/>
  </xdr:twoCellAnchor>
  <xdr:twoCellAnchor>
    <xdr:from>
      <xdr:col>30</xdr:col>
      <xdr:colOff>362338</xdr:colOff>
      <xdr:row>28</xdr:row>
      <xdr:rowOff>136159</xdr:rowOff>
    </xdr:from>
    <xdr:to>
      <xdr:col>34</xdr:col>
      <xdr:colOff>49003</xdr:colOff>
      <xdr:row>29</xdr:row>
      <xdr:rowOff>133357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76D1F924-D614-43DE-9694-FFE0446DCA20}"/>
            </a:ext>
          </a:extLst>
        </xdr:cNvPr>
        <xdr:cNvSpPr txBox="1"/>
      </xdr:nvSpPr>
      <xdr:spPr>
        <a:xfrm>
          <a:off x="11445628" y="6171199"/>
          <a:ext cx="2359380" cy="225798"/>
        </a:xfrm>
        <a:prstGeom prst="rect">
          <a:avLst/>
        </a:prstGeom>
        <a:noFill/>
        <a:ln w="381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管理機や端末機など</a:t>
          </a:r>
        </a:p>
      </xdr:txBody>
    </xdr:sp>
    <xdr:clientData/>
  </xdr:twoCellAnchor>
  <xdr:twoCellAnchor editAs="oneCell">
    <xdr:from>
      <xdr:col>29</xdr:col>
      <xdr:colOff>407528</xdr:colOff>
      <xdr:row>20</xdr:row>
      <xdr:rowOff>59846</xdr:rowOff>
    </xdr:from>
    <xdr:to>
      <xdr:col>30</xdr:col>
      <xdr:colOff>401404</xdr:colOff>
      <xdr:row>24</xdr:row>
      <xdr:rowOff>22599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13A6BFF-2FA4-4A31-AAB8-3A380A31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824068" y="4266086"/>
          <a:ext cx="651101" cy="877153"/>
        </a:xfrm>
        <a:prstGeom prst="rect">
          <a:avLst/>
        </a:prstGeom>
      </xdr:spPr>
    </xdr:pic>
    <xdr:clientData/>
  </xdr:twoCellAnchor>
  <xdr:twoCellAnchor>
    <xdr:from>
      <xdr:col>34</xdr:col>
      <xdr:colOff>215073</xdr:colOff>
      <xdr:row>21</xdr:row>
      <xdr:rowOff>181861</xdr:rowOff>
    </xdr:from>
    <xdr:to>
      <xdr:col>37</xdr:col>
      <xdr:colOff>82251</xdr:colOff>
      <xdr:row>29</xdr:row>
      <xdr:rowOff>130660</xdr:rowOff>
    </xdr:to>
    <xdr:sp macro="" textlink="">
      <xdr:nvSpPr>
        <xdr:cNvPr id="70" name="四角形: 角を丸くする 69">
          <a:extLst>
            <a:ext uri="{FF2B5EF4-FFF2-40B4-BE49-F238E27FC236}">
              <a16:creationId xmlns:a16="http://schemas.microsoft.com/office/drawing/2014/main" id="{BC0F2052-D9F8-468A-ACE5-B98499A2988B}"/>
            </a:ext>
          </a:extLst>
        </xdr:cNvPr>
        <xdr:cNvSpPr/>
      </xdr:nvSpPr>
      <xdr:spPr>
        <a:xfrm>
          <a:off x="13965363" y="4618606"/>
          <a:ext cx="1873143" cy="1783314"/>
        </a:xfrm>
        <a:prstGeom prst="roundRect">
          <a:avLst>
            <a:gd name="adj" fmla="val 8013"/>
          </a:avLst>
        </a:prstGeom>
        <a:solidFill>
          <a:schemeClr val="bg2"/>
        </a:solidFill>
        <a:ln>
          <a:solidFill>
            <a:schemeClr val="tx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tIns="0" rtlCol="0" anchor="t"/>
        <a:lstStyle/>
        <a:p>
          <a:pPr algn="ctr"/>
          <a:r>
            <a:rPr kumimoji="1" lang="ja-JP" altLang="en-US" sz="1400" b="1">
              <a:solidFill>
                <a:schemeClr val="accent4">
                  <a:lumMod val="50000"/>
                </a:schemeClr>
              </a:solidFill>
            </a:rPr>
            <a:t>社外ネットワーク</a:t>
          </a:r>
        </a:p>
      </xdr:txBody>
    </xdr:sp>
    <xdr:clientData/>
  </xdr:twoCellAnchor>
  <xdr:twoCellAnchor>
    <xdr:from>
      <xdr:col>35</xdr:col>
      <xdr:colOff>67506</xdr:colOff>
      <xdr:row>25</xdr:row>
      <xdr:rowOff>68506</xdr:rowOff>
    </xdr:from>
    <xdr:to>
      <xdr:col>36</xdr:col>
      <xdr:colOff>275139</xdr:colOff>
      <xdr:row>28</xdr:row>
      <xdr:rowOff>21760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5B13BA20-24CD-45D3-923D-BC52CD2C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6451" y="5419651"/>
          <a:ext cx="878193" cy="637149"/>
        </a:xfrm>
        <a:prstGeom prst="rect">
          <a:avLst/>
        </a:prstGeom>
      </xdr:spPr>
    </xdr:pic>
    <xdr:clientData/>
  </xdr:twoCellAnchor>
  <xdr:twoCellAnchor>
    <xdr:from>
      <xdr:col>30</xdr:col>
      <xdr:colOff>69694</xdr:colOff>
      <xdr:row>1</xdr:row>
      <xdr:rowOff>119540</xdr:rowOff>
    </xdr:from>
    <xdr:to>
      <xdr:col>37</xdr:col>
      <xdr:colOff>77024</xdr:colOff>
      <xdr:row>3</xdr:row>
      <xdr:rowOff>20925</xdr:rowOff>
    </xdr:to>
    <xdr:sp macro="" textlink="">
      <xdr:nvSpPr>
        <xdr:cNvPr id="81" name="四角形: 角を丸くする 80">
          <a:extLst>
            <a:ext uri="{FF2B5EF4-FFF2-40B4-BE49-F238E27FC236}">
              <a16:creationId xmlns:a16="http://schemas.microsoft.com/office/drawing/2014/main" id="{E0820ABE-9695-4512-A6E7-86F4B7D99CF7}"/>
            </a:ext>
          </a:extLst>
        </xdr:cNvPr>
        <xdr:cNvSpPr/>
      </xdr:nvSpPr>
      <xdr:spPr>
        <a:xfrm>
          <a:off x="11499694" y="444511"/>
          <a:ext cx="4713801" cy="349620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S1H / S3H Cloud Edition</a:t>
          </a:r>
          <a:endParaRPr kumimoji="1" lang="ja-JP" altLang="en-US" sz="2000" b="1"/>
        </a:p>
      </xdr:txBody>
    </xdr:sp>
    <xdr:clientData/>
  </xdr:twoCellAnchor>
  <xdr:twoCellAnchor>
    <xdr:from>
      <xdr:col>17</xdr:col>
      <xdr:colOff>63880</xdr:colOff>
      <xdr:row>1</xdr:row>
      <xdr:rowOff>125255</xdr:rowOff>
    </xdr:from>
    <xdr:to>
      <xdr:col>28</xdr:col>
      <xdr:colOff>517328</xdr:colOff>
      <xdr:row>3</xdr:row>
      <xdr:rowOff>15210</xdr:rowOff>
    </xdr:to>
    <xdr:sp macro="" textlink="">
      <xdr:nvSpPr>
        <xdr:cNvPr id="82" name="四角形: 角を丸くする 81">
          <a:extLst>
            <a:ext uri="{FF2B5EF4-FFF2-40B4-BE49-F238E27FC236}">
              <a16:creationId xmlns:a16="http://schemas.microsoft.com/office/drawing/2014/main" id="{DF8EABBB-3B5C-4353-8321-E7329C445D62}"/>
            </a:ext>
          </a:extLst>
        </xdr:cNvPr>
        <xdr:cNvSpPr/>
      </xdr:nvSpPr>
      <xdr:spPr>
        <a:xfrm>
          <a:off x="5778880" y="450226"/>
          <a:ext cx="4823742" cy="338190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S1H / S3H Cloud Edition</a:t>
          </a:r>
        </a:p>
      </xdr:txBody>
    </xdr:sp>
    <xdr:clientData/>
  </xdr:twoCellAnchor>
  <xdr:twoCellAnchor>
    <xdr:from>
      <xdr:col>1</xdr:col>
      <xdr:colOff>314153</xdr:colOff>
      <xdr:row>1</xdr:row>
      <xdr:rowOff>116683</xdr:rowOff>
    </xdr:from>
    <xdr:to>
      <xdr:col>13</xdr:col>
      <xdr:colOff>164278</xdr:colOff>
      <xdr:row>3</xdr:row>
      <xdr:rowOff>23783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27ED5344-3F1C-416D-8088-2C098D80B18C}"/>
            </a:ext>
          </a:extLst>
        </xdr:cNvPr>
        <xdr:cNvSpPr/>
      </xdr:nvSpPr>
      <xdr:spPr>
        <a:xfrm>
          <a:off x="650329" y="441654"/>
          <a:ext cx="3884243" cy="355335"/>
        </a:xfrm>
        <a:prstGeom prst="roundRect">
          <a:avLst/>
        </a:prstGeom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/>
            <a:t>S1 / S3 Cloud Edition</a:t>
          </a:r>
          <a:endParaRPr kumimoji="1" lang="ja-JP" altLang="en-US" sz="20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91440</xdr:colOff>
      <xdr:row>0</xdr:row>
      <xdr:rowOff>251460</xdr:rowOff>
    </xdr:from>
    <xdr:to>
      <xdr:col>13</xdr:col>
      <xdr:colOff>510540</xdr:colOff>
      <xdr:row>26</xdr:row>
      <xdr:rowOff>173935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B9BF2B8-E2E1-4BDD-A9D3-2095B233BE6A}"/>
            </a:ext>
          </a:extLst>
        </xdr:cNvPr>
        <xdr:cNvSpPr/>
      </xdr:nvSpPr>
      <xdr:spPr>
        <a:xfrm>
          <a:off x="8547983" y="251460"/>
          <a:ext cx="6423992" cy="556293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■各項目の入力方法に関して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本ヒアリングシート記入の際は、下記説明事項をご確認の上記載ください。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・入力箇所を選択することで各項目の説明が表示されます。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内容をご確認の上、選択肢からの入力あるいは、直接値を入力してください。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・「システム構成」に導入される構成を選択することで、記入の必要な項目が表示されます。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記入不要な項目に関してはグレーアウトされますので、入力の必要は御座いません。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・項目が赤色セルになっている場合、入力内容に不備があります。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説明欄をご確認の上、適切な値を入力してください。</a:t>
          </a:r>
        </a:p>
      </xdr:txBody>
    </xdr:sp>
    <xdr:clientData/>
  </xdr:twoCellAnchor>
  <xdr:twoCellAnchor>
    <xdr:from>
      <xdr:col>8</xdr:col>
      <xdr:colOff>202294</xdr:colOff>
      <xdr:row>15</xdr:row>
      <xdr:rowOff>134421</xdr:rowOff>
    </xdr:from>
    <xdr:to>
      <xdr:col>13</xdr:col>
      <xdr:colOff>286712</xdr:colOff>
      <xdr:row>19</xdr:row>
      <xdr:rowOff>126800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E4FE7E-3332-A221-7D15-201C91C20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5" t="45547" r="51707" b="42107"/>
        <a:stretch/>
      </xdr:blipFill>
      <xdr:spPr>
        <a:xfrm>
          <a:off x="9108169" y="3411021"/>
          <a:ext cx="6056593" cy="906779"/>
        </a:xfrm>
        <a:prstGeom prst="rect">
          <a:avLst/>
        </a:prstGeom>
      </xdr:spPr>
    </xdr:pic>
    <xdr:clientData/>
  </xdr:twoCellAnchor>
  <xdr:twoCellAnchor>
    <xdr:from>
      <xdr:col>8</xdr:col>
      <xdr:colOff>239410</xdr:colOff>
      <xdr:row>16</xdr:row>
      <xdr:rowOff>128246</xdr:rowOff>
    </xdr:from>
    <xdr:to>
      <xdr:col>13</xdr:col>
      <xdr:colOff>227722</xdr:colOff>
      <xdr:row>17</xdr:row>
      <xdr:rowOff>72756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2DC3BA5-19C5-C9EB-BB5D-0B03C77F6F7B}"/>
            </a:ext>
          </a:extLst>
        </xdr:cNvPr>
        <xdr:cNvSpPr txBox="1"/>
      </xdr:nvSpPr>
      <xdr:spPr>
        <a:xfrm>
          <a:off x="9145285" y="3633446"/>
          <a:ext cx="5960487" cy="17311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chemeClr val="bg1"/>
              </a:solidFill>
            </a:rPr>
            <a:t>　入力不要　</a:t>
          </a:r>
          <a:endParaRPr kumimoji="1" lang="en-US" altLang="ja-JP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240215</xdr:colOff>
      <xdr:row>18</xdr:row>
      <xdr:rowOff>10070</xdr:rowOff>
    </xdr:from>
    <xdr:to>
      <xdr:col>13</xdr:col>
      <xdr:colOff>227722</xdr:colOff>
      <xdr:row>19</xdr:row>
      <xdr:rowOff>109613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EF2009F-8409-6E24-0208-2AEDFCA20599}"/>
            </a:ext>
          </a:extLst>
        </xdr:cNvPr>
        <xdr:cNvSpPr txBox="1"/>
      </xdr:nvSpPr>
      <xdr:spPr>
        <a:xfrm>
          <a:off x="9146090" y="3972470"/>
          <a:ext cx="5959682" cy="32814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　入力必要　</a:t>
          </a:r>
          <a:endParaRPr kumimoji="1" lang="en-US" altLang="ja-JP" sz="105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211892</xdr:colOff>
      <xdr:row>23</xdr:row>
      <xdr:rowOff>202190</xdr:rowOff>
    </xdr:from>
    <xdr:to>
      <xdr:col>13</xdr:col>
      <xdr:colOff>289229</xdr:colOff>
      <xdr:row>26</xdr:row>
      <xdr:rowOff>172653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7408079-CCEA-4FFC-8370-73FC37F86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65" t="32598" r="44508" b="56823"/>
        <a:stretch/>
      </xdr:blipFill>
      <xdr:spPr>
        <a:xfrm>
          <a:off x="8670092" y="5078990"/>
          <a:ext cx="6064751" cy="652453"/>
        </a:xfrm>
        <a:prstGeom prst="rect">
          <a:avLst/>
        </a:prstGeom>
      </xdr:spPr>
    </xdr:pic>
    <xdr:clientData/>
  </xdr:twoCellAnchor>
  <xdr:twoCellAnchor editAs="oneCell">
    <xdr:from>
      <xdr:col>8</xdr:col>
      <xdr:colOff>198121</xdr:colOff>
      <xdr:row>6</xdr:row>
      <xdr:rowOff>217170</xdr:rowOff>
    </xdr:from>
    <xdr:to>
      <xdr:col>13</xdr:col>
      <xdr:colOff>173978</xdr:colOff>
      <xdr:row>13</xdr:row>
      <xdr:rowOff>19050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3807F9B-7B71-CDDD-33F3-DDAD5186C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35" t="60104" r="47513" b="18129"/>
        <a:stretch/>
      </xdr:blipFill>
      <xdr:spPr>
        <a:xfrm>
          <a:off x="8656321" y="1407795"/>
          <a:ext cx="5976606" cy="14306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91440</xdr:colOff>
      <xdr:row>0</xdr:row>
      <xdr:rowOff>251460</xdr:rowOff>
    </xdr:from>
    <xdr:to>
      <xdr:col>13</xdr:col>
      <xdr:colOff>510540</xdr:colOff>
      <xdr:row>26</xdr:row>
      <xdr:rowOff>173935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CF67C7A-728A-4396-AD6A-B466409BA287}"/>
            </a:ext>
          </a:extLst>
        </xdr:cNvPr>
        <xdr:cNvSpPr/>
      </xdr:nvSpPr>
      <xdr:spPr>
        <a:xfrm>
          <a:off x="8572500" y="247650"/>
          <a:ext cx="6391275" cy="57232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■各項目の入力方法に関して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本ヒアリングシート記入の際は、下記説明事項をご確認の上記載ください。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・入力箇所を選択することで各項目の説明が表示されます。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内容をご確認の上、選択肢からの入力あるいは、直接値を入力してください。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・「システム構成」に導入される構成を選択することで、記入の必要な項目が表示されます。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記入不要な項目に関してはグレーアウトされますので、入力の必要は御座いません。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・項目が赤色セルになっている場合、入力内容に不備があります。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説明欄をご確認の上、適切な値を入力してください。</a:t>
          </a:r>
        </a:p>
      </xdr:txBody>
    </xdr:sp>
    <xdr:clientData/>
  </xdr:twoCellAnchor>
  <xdr:twoCellAnchor>
    <xdr:from>
      <xdr:col>8</xdr:col>
      <xdr:colOff>202294</xdr:colOff>
      <xdr:row>15</xdr:row>
      <xdr:rowOff>134421</xdr:rowOff>
    </xdr:from>
    <xdr:to>
      <xdr:col>13</xdr:col>
      <xdr:colOff>286712</xdr:colOff>
      <xdr:row>19</xdr:row>
      <xdr:rowOff>126800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A294889-EECC-4892-97CC-DF6285870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5" t="45547" r="51707" b="42107"/>
        <a:stretch/>
      </xdr:blipFill>
      <xdr:spPr>
        <a:xfrm>
          <a:off x="8683354" y="3407211"/>
          <a:ext cx="6048973" cy="914399"/>
        </a:xfrm>
        <a:prstGeom prst="rect">
          <a:avLst/>
        </a:prstGeom>
      </xdr:spPr>
    </xdr:pic>
    <xdr:clientData/>
  </xdr:twoCellAnchor>
  <xdr:twoCellAnchor>
    <xdr:from>
      <xdr:col>8</xdr:col>
      <xdr:colOff>239410</xdr:colOff>
      <xdr:row>16</xdr:row>
      <xdr:rowOff>128246</xdr:rowOff>
    </xdr:from>
    <xdr:to>
      <xdr:col>13</xdr:col>
      <xdr:colOff>227722</xdr:colOff>
      <xdr:row>17</xdr:row>
      <xdr:rowOff>72756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E8DEFD8-2A34-4FBD-8B80-248AE8DDE5DF}"/>
            </a:ext>
          </a:extLst>
        </xdr:cNvPr>
        <xdr:cNvSpPr txBox="1"/>
      </xdr:nvSpPr>
      <xdr:spPr>
        <a:xfrm>
          <a:off x="8718565" y="3637256"/>
          <a:ext cx="5958582" cy="1693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chemeClr val="bg1"/>
              </a:solidFill>
            </a:rPr>
            <a:t>　入力不要　</a:t>
          </a:r>
          <a:endParaRPr kumimoji="1" lang="en-US" altLang="ja-JP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240215</xdr:colOff>
      <xdr:row>18</xdr:row>
      <xdr:rowOff>10070</xdr:rowOff>
    </xdr:from>
    <xdr:to>
      <xdr:col>13</xdr:col>
      <xdr:colOff>227722</xdr:colOff>
      <xdr:row>19</xdr:row>
      <xdr:rowOff>109613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7E7014A-149A-469D-8F63-3061D8DD0671}"/>
            </a:ext>
          </a:extLst>
        </xdr:cNvPr>
        <xdr:cNvSpPr txBox="1"/>
      </xdr:nvSpPr>
      <xdr:spPr>
        <a:xfrm>
          <a:off x="8721275" y="3974375"/>
          <a:ext cx="5955872" cy="32433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ctr" anchorCtr="1">
          <a:noAutofit/>
        </a:bodyPr>
        <a:lstStyle/>
        <a:p>
          <a:pPr algn="r"/>
          <a:r>
            <a:rPr kumimoji="1" lang="ja-JP" altLang="en-US" sz="1050" b="1">
              <a:solidFill>
                <a:sysClr val="windowText" lastClr="000000"/>
              </a:solidFill>
            </a:rPr>
            <a:t>　入力必要　</a:t>
          </a:r>
          <a:endParaRPr kumimoji="1" lang="en-US" altLang="ja-JP" sz="105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211892</xdr:colOff>
      <xdr:row>23</xdr:row>
      <xdr:rowOff>202190</xdr:rowOff>
    </xdr:from>
    <xdr:to>
      <xdr:col>13</xdr:col>
      <xdr:colOff>289229</xdr:colOff>
      <xdr:row>26</xdr:row>
      <xdr:rowOff>172653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9DFEB56-A069-431E-9408-17B9A04ED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65" t="32598" r="44508" b="56823"/>
        <a:stretch/>
      </xdr:blipFill>
      <xdr:spPr>
        <a:xfrm>
          <a:off x="8685332" y="5311400"/>
          <a:ext cx="6049512" cy="658168"/>
        </a:xfrm>
        <a:prstGeom prst="rect">
          <a:avLst/>
        </a:prstGeom>
      </xdr:spPr>
    </xdr:pic>
    <xdr:clientData/>
  </xdr:twoCellAnchor>
  <xdr:twoCellAnchor editAs="oneCell">
    <xdr:from>
      <xdr:col>8</xdr:col>
      <xdr:colOff>198121</xdr:colOff>
      <xdr:row>6</xdr:row>
      <xdr:rowOff>217170</xdr:rowOff>
    </xdr:from>
    <xdr:to>
      <xdr:col>13</xdr:col>
      <xdr:colOff>173978</xdr:colOff>
      <xdr:row>13</xdr:row>
      <xdr:rowOff>19050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3EBE30B-EF17-4FDC-B7B6-DAE1FA474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35" t="60104" r="47513" b="18129"/>
        <a:stretch/>
      </xdr:blipFill>
      <xdr:spPr>
        <a:xfrm>
          <a:off x="8677276" y="1405890"/>
          <a:ext cx="5942317" cy="1428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-smp\zero\SKYMENU\SKYMENU%20Pro%20Ver.4.0\&#12489;&#12461;&#12517;&#12513;&#12531;&#12488;\&#35430;&#39443;&#20181;&#27096;&#26360;\&#26032;SKYMENU%20Ver4.0&#35430;&#39443;&#20181;&#31532;1&#292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eso1\&#30003;&#35531;&#26360;-bh\Documents%20and%20Settings\sakurai\Local%20Settings\Temporary%20Internet%20Files\OLK30\SKYMENU&#12471;&#12522;&#12540;&#12474;&#29305;&#20385;&#30003;&#35531;&#26360;(&#21407;&#32025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機能テスト実施状況管理表"/>
      <sheetName val="テスト分類番号"/>
      <sheetName val="進捗グラフ"/>
      <sheetName val="初期画面"/>
      <sheetName val="先生機"/>
      <sheetName val="生徒機"/>
      <sheetName val="中継機"/>
      <sheetName val="ディスクメンテナンス"/>
      <sheetName val="プリンタ制御クライアント"/>
      <sheetName val="プリンタ制御サーバ"/>
      <sheetName val="赤外線リモコン"/>
      <sheetName val="ビデオ配信クライアント"/>
      <sheetName val="ビデオ配信サーバ"/>
      <sheetName val="起動と終了"/>
      <sheetName val="差分アップデート"/>
      <sheetName val="ライセンスツール"/>
      <sheetName val="初期設定ツール"/>
      <sheetName val="ユーザー管理ツール"/>
      <sheetName val="メイン画面"/>
      <sheetName val="アナウンス"/>
      <sheetName val="出席機能"/>
      <sheetName val="ユーザインター フェース"/>
      <sheetName val="通常動作"/>
      <sheetName val="動作確認機能"/>
      <sheetName val="実行機能"/>
      <sheetName val="動作画面送信（通常）"/>
      <sheetName val="動作画面送信（ツールバー）"/>
      <sheetName val="動作画面送信（他アプリ）"/>
      <sheetName val="動作画面受信（通常）"/>
      <sheetName val="動作画面受信（ツールバー）"/>
      <sheetName val="動作画面受信（他アプリ）"/>
      <sheetName val="動作画面受信（共有操作）"/>
      <sheetName val="動作画面受信（強制操作）"/>
      <sheetName val="画面送信（静止）"/>
      <sheetName val="ロック機能"/>
      <sheetName val="教材配布"/>
      <sheetName val="教材回収"/>
      <sheetName val="教材再配布"/>
      <sheetName val="教材削除"/>
      <sheetName val="電源機能"/>
      <sheetName val="マクロ機能"/>
      <sheetName val="修復機能"/>
      <sheetName val="実施"/>
      <sheetName val="集計"/>
      <sheetName val="集計実行"/>
      <sheetName val="管理ツール機能"/>
      <sheetName val="IEの管理"/>
      <sheetName val="教室の設定"/>
      <sheetName val="個別情報の保存"/>
      <sheetName val="アップデート"/>
      <sheetName val="設定ファイル編集"/>
      <sheetName val="先生機側常駐アプリ"/>
      <sheetName val="生徒機側常駐アプリ"/>
      <sheetName val="設定ツールイレギュラー試験"/>
      <sheetName val="常駐アプリイレギュラー試験"/>
      <sheetName val="ビデオ配信"/>
      <sheetName val="カノープスビデオ配信"/>
      <sheetName val="ビデオと組み合わせ"/>
      <sheetName val="別セグメント試験"/>
      <sheetName val="バージョン不一致の検出"/>
      <sheetName val="YAHOO対応"/>
      <sheetName val="縮小表示"/>
      <sheetName val="先生機メインアプリ"/>
      <sheetName val="生徒機の確認"/>
      <sheetName val="電源管理"/>
      <sheetName val="各機能の確認"/>
      <sheetName val="通常台数試験"/>
      <sheetName val="OfficeXP台数試験"/>
      <sheetName val="入力規則"/>
      <sheetName val=".........入力規則"/>
      <sheetName val="定義"/>
      <sheetName val="試験結果入力規則"/>
      <sheetName val="試験書"/>
      <sheetName val="BLK"/>
      <sheetName val="ユーザインター_フェース"/>
      <sheetName val="_________入力規則"/>
      <sheetName val="WBS"/>
      <sheetName val="入力候補"/>
      <sheetName val="表紙"/>
      <sheetName val="変更履歴"/>
      <sheetName val="試験票"/>
      <sheetName val="試験票ベース"/>
      <sheetName val="選択項目"/>
      <sheetName val="差分仕様評価試験　方針書"/>
      <sheetName val="選定"/>
      <sheetName val="SCR"/>
      <sheetName val="状態"/>
      <sheetName val="操作"/>
    </sheetNames>
    <sheetDataSet>
      <sheetData sheetId="0"/>
      <sheetData sheetId="1"/>
      <sheetData sheetId="2"/>
      <sheetData sheetId="3" refreshError="1">
        <row r="1">
          <cell r="W1">
            <v>20</v>
          </cell>
          <cell r="X1">
            <v>21</v>
          </cell>
        </row>
        <row r="3">
          <cell r="W3">
            <v>59</v>
          </cell>
          <cell r="X3">
            <v>59</v>
          </cell>
        </row>
        <row r="4">
          <cell r="W4">
            <v>1182</v>
          </cell>
          <cell r="X4">
            <v>1241</v>
          </cell>
        </row>
        <row r="5">
          <cell r="W5" t="str">
            <v/>
          </cell>
          <cell r="X5" t="str">
            <v/>
          </cell>
        </row>
        <row r="6">
          <cell r="W6" t="str">
            <v/>
          </cell>
          <cell r="X6" t="str">
            <v/>
          </cell>
        </row>
        <row r="7">
          <cell r="W7">
            <v>87</v>
          </cell>
          <cell r="X7">
            <v>87</v>
          </cell>
        </row>
        <row r="11">
          <cell r="W11" t="str">
            <v/>
          </cell>
          <cell r="X11" t="str">
            <v/>
          </cell>
        </row>
        <row r="12">
          <cell r="W12">
            <v>60</v>
          </cell>
          <cell r="X12">
            <v>63</v>
          </cell>
        </row>
        <row r="35">
          <cell r="W35">
            <v>20</v>
          </cell>
          <cell r="X35">
            <v>21</v>
          </cell>
        </row>
        <row r="36">
          <cell r="W36">
            <v>37267</v>
          </cell>
          <cell r="X36">
            <v>37271</v>
          </cell>
        </row>
        <row r="40">
          <cell r="W40" t="e">
            <v>#REF!</v>
          </cell>
          <cell r="X40" t="e">
            <v>#REF!</v>
          </cell>
        </row>
        <row r="41">
          <cell r="W41" t="e">
            <v>#REF!</v>
          </cell>
          <cell r="X41" t="e">
            <v>#REF!</v>
          </cell>
        </row>
        <row r="42">
          <cell r="W42" t="e">
            <v>#REF!</v>
          </cell>
          <cell r="X42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特価申請書"/>
      <sheetName val="リスト"/>
      <sheetName val="list"/>
      <sheetName val="出荷手順書ヘッダー"/>
    </sheetNames>
    <sheetDataSet>
      <sheetData sheetId="0"/>
      <sheetData sheetId="1">
        <row r="2">
          <cell r="E2" t="str">
            <v>LT</v>
          </cell>
        </row>
        <row r="3">
          <cell r="E3" t="str">
            <v>ST</v>
          </cell>
        </row>
        <row r="4">
          <cell r="E4" t="str">
            <v>EX</v>
          </cell>
        </row>
        <row r="5">
          <cell r="E5" t="str">
            <v>HV</v>
          </cell>
        </row>
        <row r="6">
          <cell r="E6" t="str">
            <v>SR</v>
          </cell>
        </row>
        <row r="7">
          <cell r="E7" t="str">
            <v>LT(黒）</v>
          </cell>
        </row>
        <row r="8">
          <cell r="E8" t="str">
            <v>ST(黒)</v>
          </cell>
        </row>
        <row r="9">
          <cell r="E9" t="str">
            <v>HV(黒)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38100">
          <a:solidFill>
            <a:srgbClr val="FF0000"/>
          </a:solidFill>
        </a:ln>
      </a:spPr>
      <a:bodyPr vertOverflow="clip" horzOverflow="clip" wrap="none" lIns="0" tIns="0" rIns="0" bIns="0" rtlCol="0" anchor="ctr" anchorCtr="1">
        <a:noAutofit/>
      </a:bodyPr>
      <a:lstStyle>
        <a:defPPr algn="r">
          <a:defRPr kumimoji="1" sz="1050" b="1">
            <a:solidFill>
              <a:schemeClr val="bg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ocs.microsoft.com/ja-jp/azure/vpn-gateway/vpn-gateway-about-vpn-devic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ocs.microsoft.com/ja-jp/azure/vpn-gateway/vpn-gateway-about-vpn-devic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D7B65-DB16-421C-903D-25014BA6D8AA}">
  <sheetPr codeName="Sheet1">
    <pageSetUpPr fitToPage="1"/>
  </sheetPr>
  <dimension ref="A1:AL51"/>
  <sheetViews>
    <sheetView showGridLines="0" tabSelected="1" view="pageBreakPreview" zoomScaleNormal="100" zoomScaleSheetLayoutView="100" workbookViewId="0">
      <selection sqref="A1:AL1"/>
    </sheetView>
  </sheetViews>
  <sheetFormatPr defaultColWidth="8.8984375" defaultRowHeight="18" x14ac:dyDescent="0.45"/>
  <cols>
    <col min="1" max="26" width="4.3984375" style="1" customWidth="1"/>
    <col min="27" max="37" width="8.8984375" style="1"/>
    <col min="38" max="38" width="11.8984375" style="1" bestFit="1" customWidth="1"/>
    <col min="39" max="16384" width="8.8984375" style="1"/>
  </cols>
  <sheetData>
    <row r="1" spans="1:38" ht="25.65" customHeight="1" x14ac:dyDescent="0.45">
      <c r="A1" s="50" t="s">
        <v>11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</row>
    <row r="22" spans="2:38" x14ac:dyDescent="0.45">
      <c r="W22" s="51">
        <v>44971</v>
      </c>
      <c r="X22" s="51"/>
      <c r="Y22" s="51"/>
      <c r="Z22" s="51"/>
    </row>
    <row r="31" spans="2:38" x14ac:dyDescent="0.45">
      <c r="AL31" s="28"/>
    </row>
    <row r="32" spans="2:38" x14ac:dyDescent="0.45">
      <c r="B32" s="1" t="s">
        <v>55</v>
      </c>
    </row>
    <row r="33" spans="2:38" x14ac:dyDescent="0.45">
      <c r="B33" s="1" t="s">
        <v>56</v>
      </c>
    </row>
    <row r="34" spans="2:38" x14ac:dyDescent="0.45">
      <c r="B34" s="1" t="s">
        <v>57</v>
      </c>
    </row>
    <row r="35" spans="2:38" x14ac:dyDescent="0.45">
      <c r="B35" s="1" t="s">
        <v>58</v>
      </c>
      <c r="AL35" s="29">
        <f>ヒアリングシート!C76</f>
        <v>45288</v>
      </c>
    </row>
    <row r="51" spans="23:26" x14ac:dyDescent="0.45">
      <c r="W51" s="51"/>
      <c r="X51" s="51"/>
      <c r="Y51" s="51"/>
      <c r="Z51" s="51"/>
    </row>
  </sheetData>
  <sheetProtection algorithmName="SHA-512" hashValue="v+OYIaP1fDk1NyKgKbmSqV0dI5+CsAi2E16uG6Tx1NJ/umbVBy9IHmSgTmRCxZCeR8dhDTYY9rCqYMbNLt0a+g==" saltValue="Tzc2gBnn0t7sUp7QqicGEA==" spinCount="100000" sheet="1" objects="1" scenarios="1"/>
  <mergeCells count="3">
    <mergeCell ref="A1:AL1"/>
    <mergeCell ref="W22:Z22"/>
    <mergeCell ref="W51:Z51"/>
  </mergeCells>
  <phoneticPr fontId="1"/>
  <pageMargins left="0.7" right="0.7" top="0.75" bottom="0.75" header="0.3" footer="0.3"/>
  <pageSetup paperSize="9" scale="5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AB90-B6AC-4F18-867F-782CD99D39EA}">
  <sheetPr codeName="Sheet2"/>
  <dimension ref="B1:M76"/>
  <sheetViews>
    <sheetView showGridLines="0" view="pageBreakPreview" zoomScaleNormal="100" zoomScaleSheetLayoutView="100" workbookViewId="0">
      <selection activeCell="B1" sqref="B1:C1"/>
    </sheetView>
  </sheetViews>
  <sheetFormatPr defaultColWidth="8.8984375" defaultRowHeight="18" x14ac:dyDescent="0.45"/>
  <cols>
    <col min="1" max="1" width="3.5" style="2" customWidth="1"/>
    <col min="2" max="2" width="70.3984375" style="11" customWidth="1"/>
    <col min="3" max="3" width="37.3984375" style="2" customWidth="1"/>
    <col min="4" max="4" width="12.69921875" hidden="1" customWidth="1"/>
    <col min="5" max="5" width="16" hidden="1" customWidth="1"/>
    <col min="6" max="6" width="14.8984375" hidden="1" customWidth="1"/>
    <col min="7" max="7" width="36" style="2" hidden="1" customWidth="1"/>
    <col min="8" max="8" width="37.69921875" style="2" hidden="1" customWidth="1"/>
    <col min="9" max="9" width="13.09765625" style="2" customWidth="1"/>
    <col min="10" max="10" width="17.09765625" style="2" bestFit="1" customWidth="1"/>
    <col min="11" max="11" width="15.5" style="2" bestFit="1" customWidth="1"/>
    <col min="12" max="12" width="17.09765625" style="2" bestFit="1" customWidth="1"/>
    <col min="13" max="13" width="15.5" style="2" bestFit="1" customWidth="1"/>
    <col min="14" max="16384" width="8.8984375" style="2"/>
  </cols>
  <sheetData>
    <row r="1" spans="2:13" ht="28.8" x14ac:dyDescent="0.45">
      <c r="B1" s="52" t="s">
        <v>52</v>
      </c>
      <c r="C1" s="52"/>
    </row>
    <row r="2" spans="2:13" x14ac:dyDescent="0.45">
      <c r="B2" s="3" t="s">
        <v>15</v>
      </c>
      <c r="C2" s="23"/>
    </row>
    <row r="3" spans="2:13" ht="5.4" customHeight="1" x14ac:dyDescent="0.45">
      <c r="B3" s="3"/>
    </row>
    <row r="4" spans="2:13" x14ac:dyDescent="0.45">
      <c r="B4" s="3" t="s">
        <v>16</v>
      </c>
      <c r="C4" s="24"/>
    </row>
    <row r="5" spans="2:13" ht="5.4" customHeight="1" x14ac:dyDescent="0.45">
      <c r="B5" s="3"/>
    </row>
    <row r="6" spans="2:13" ht="18.600000000000001" thickBot="1" x14ac:dyDescent="0.5">
      <c r="B6" s="4" t="s">
        <v>29</v>
      </c>
      <c r="C6" s="5"/>
    </row>
    <row r="7" spans="2:13" ht="18.600000000000001" thickTop="1" x14ac:dyDescent="0.45">
      <c r="B7" s="6" t="s">
        <v>10</v>
      </c>
      <c r="C7" s="18"/>
    </row>
    <row r="8" spans="2:13" x14ac:dyDescent="0.45">
      <c r="C8" s="25"/>
    </row>
    <row r="9" spans="2:13" ht="18.600000000000001" thickBot="1" x14ac:dyDescent="0.5">
      <c r="B9" s="4" t="s">
        <v>36</v>
      </c>
      <c r="C9" s="5"/>
      <c r="D9" s="17" t="s">
        <v>37</v>
      </c>
      <c r="E9" s="17" t="s">
        <v>72</v>
      </c>
      <c r="F9" s="17" t="s">
        <v>73</v>
      </c>
    </row>
    <row r="10" spans="2:13" ht="18.600000000000001" thickTop="1" x14ac:dyDescent="0.45">
      <c r="B10" s="7" t="s">
        <v>9</v>
      </c>
      <c r="C10" s="20"/>
      <c r="F10" t="str">
        <f>IF($C$10="","NG","OK")</f>
        <v>NG</v>
      </c>
      <c r="G10" s="2" t="b">
        <f>IF(F10="OK",TRUE,FALSE)</f>
        <v>0</v>
      </c>
      <c r="H10" s="2" t="str">
        <f>SUBSTITUTE(SUBSTITUTE(C10, "　", ""), " ", "")</f>
        <v/>
      </c>
      <c r="I10" s="12"/>
      <c r="J10" s="12"/>
      <c r="K10" s="12"/>
      <c r="L10" s="12"/>
      <c r="M10" s="12"/>
    </row>
    <row r="11" spans="2:13" x14ac:dyDescent="0.45">
      <c r="B11" s="8" t="s">
        <v>8</v>
      </c>
      <c r="C11" s="20"/>
      <c r="G11" s="2" t="b">
        <f>IF(C11&lt;&gt;"",TRUE,FALSE)</f>
        <v>0</v>
      </c>
    </row>
    <row r="12" spans="2:13" x14ac:dyDescent="0.45">
      <c r="B12" s="8" t="s">
        <v>21</v>
      </c>
      <c r="C12" s="21"/>
      <c r="D12" s="21"/>
      <c r="E12" s="26"/>
      <c r="F12" s="25" t="str">
        <f>IF($C$12="","NG1",
IF(AND(OR($C$10="S1H Cloud Edition",$C$10="S3H Cloud Edition"),OR($C$12="https接続のみ",$C$12="VPN+https接続")),"OK",
IF(AND(OR($C$10="S1 Cloud Edition",$C$10="S3 Cloud Edition"),$C$12="VPN接続のみ"),"OK",
"NG3")
))</f>
        <v>NG1</v>
      </c>
      <c r="G12" s="2" t="b">
        <f>IF(F12="OK",TRUE,FALSE)</f>
        <v>0</v>
      </c>
      <c r="H12" s="2" t="str">
        <f>IF(OR(C12="VPN接続のみ",C12="VPN+https接続"),"両方","ホスト名のみ")</f>
        <v>ホスト名のみ</v>
      </c>
    </row>
    <row r="13" spans="2:13" x14ac:dyDescent="0.45">
      <c r="B13" s="8" t="s">
        <v>42</v>
      </c>
      <c r="C13" s="9" t="str">
        <f>IF($C$12="","",IF($C$12="VPN接続のみ","オプションなし",IF($C$12="https接続のみ","オプションなし","オプションなし")))</f>
        <v/>
      </c>
      <c r="D13" t="str">
        <f>IF(AND($C$12="VPN接続のみ",C13="オプションあり"),"NG",
IF(AND($C$12="VPN接続のみ",C13="オプションなし"),"OK",
IF(AND($C$12="VPN接続のみ",C13=""),"OK",
"OK")))</f>
        <v>OK</v>
      </c>
      <c r="E13" t="str">
        <f>IF(AND($C$12="VPN+HTTPS接続",C13="オプションあり"),"OK",IF(AND($C$12="VPN+HTTPS接続",C13="オプションなし"),"NG",IF(AND($C$12="VPN+HTTPS接続",C13=""),"NG","OK")))</f>
        <v>OK</v>
      </c>
      <c r="F13" t="str">
        <f>IF(AND($C$12="HTTPS接続のみ",C13="オプションあり"),"OK",IF(AND($C$12="HTTPS接続のみ",C13="オプションなし"),"NG",IF(AND($C$12="HTTPS接続のみ",C13=""),"NG","OK")))</f>
        <v>OK</v>
      </c>
      <c r="G13" s="2" t="b">
        <f>AND(D13=E13,D13=F13)</f>
        <v>1</v>
      </c>
    </row>
    <row r="14" spans="2:13" x14ac:dyDescent="0.45">
      <c r="B14" s="8" t="s">
        <v>43</v>
      </c>
      <c r="C14" s="21"/>
      <c r="D14" t="str">
        <f>IF(AND($C$12="VPN接続のみ",C13="オプションあり",C14=""),"OK",
IF(AND($C$12="VPN接続のみ",C13="オプションなし"),"OK",
IF(AND($C$12="VPN接続のみ",$C$13="",C14=""),"OK",
"OK")))</f>
        <v>OK</v>
      </c>
      <c r="E14" t="str">
        <f>IF(AND($C$12="VPN+HTTPS接続",C13="オプションあり",C14="オプションあり"),"OK",IF($C$14="","OK",
IF(AND($C$12="VPN+HTTPS接続",C13="オプションあり",C14=""),"NG",
IF(AND($C$12="VPN+HTTPS接続",C13="オプションなし",C14="オプションあり"),"NG",
IF(AND($C$12="VPN+HTTPS接続",$C$13="",C14=""),"OK",
IF(OR($C$13="",C14=""),"OK",
"OK"))))))</f>
        <v>OK</v>
      </c>
      <c r="F14" t="str">
        <f>IF(AND($C$12="https接続のみ",$C$13="オプションあり",$C$14="オプションあり"),"OK",IF($C$14="","OK",
IF(AND($C$12="HTTPS接続のみ",C13="オプションなし",C14="オプションあり"),"OK",
IF(AND($C$12="HTTPS接続のみ",C13="オプションあり",C14=""),"NG",
IF(AND($C$12="HTTPS接続のみ",$C$13="",C14=""),"OK",
IF(OR($C$13="",C14=""),"OK",
"OK"))))))</f>
        <v>OK</v>
      </c>
      <c r="G14" s="2" t="b">
        <f>AND(D14=E14,D14=F14)</f>
        <v>1</v>
      </c>
      <c r="H14" s="2" t="str">
        <f>IF(C14="オプションあり","オプションあり","オプションなし")</f>
        <v>オプションなし</v>
      </c>
    </row>
    <row r="15" spans="2:13" x14ac:dyDescent="0.45">
      <c r="B15" s="8" t="s">
        <v>44</v>
      </c>
      <c r="C15" s="47"/>
      <c r="D15" t="str">
        <f>IF(C15&lt;&gt;"","OK","NG")</f>
        <v>NG</v>
      </c>
    </row>
    <row r="16" spans="2:13" x14ac:dyDescent="0.45">
      <c r="B16" s="8" t="s">
        <v>45</v>
      </c>
      <c r="C16" s="21"/>
      <c r="D16" t="str">
        <f>IF($C$16=オプションあり,"ログ解析","")</f>
        <v/>
      </c>
      <c r="F16" t="str">
        <f>IF(AND($C$12="HTTPS接続のみ",C16="オプションあり"),"NG",
"OK")</f>
        <v>OK</v>
      </c>
      <c r="G16" s="2" t="b">
        <f>AND(F16="OK")</f>
        <v>1</v>
      </c>
    </row>
    <row r="17" spans="2:11" x14ac:dyDescent="0.45">
      <c r="B17" s="8" t="s">
        <v>46</v>
      </c>
      <c r="C17" s="21"/>
      <c r="D17" t="str">
        <f>IF(AND($C$14="",$C$17="オプションあり"),"OK",
IF(AND($C$14="",$C$17=""),"OK",
IF(AND($C$14="オプションあり",$C$17="オプションあり"),"OK",
IF(AND($C$14="オプションあり",$C$17="オプションなし"),"NG",
IF(AND($C$14="オプションなし",$C$17="オプションあり"),"OK",
IF(AND($C$14="オプションなし",$C$17="オプションなし"),"OK",
IF(AND($C$14="オプションあり",$C$17=""),"NG",
IF(AND($C$14="オプションなし",$C$17=""),"OK",
IF(AND($C$14="",$C$17="オプションなし",C12="VPN接続のみ"),"OK",
"NG")))))))))</f>
        <v>OK</v>
      </c>
      <c r="G17" s="2" t="b">
        <f>AND(D17="OK")</f>
        <v>1</v>
      </c>
    </row>
    <row r="18" spans="2:11" x14ac:dyDescent="0.45">
      <c r="B18" s="8" t="s">
        <v>47</v>
      </c>
      <c r="C18" s="21"/>
    </row>
    <row r="19" spans="2:11" x14ac:dyDescent="0.45">
      <c r="B19" s="8" t="s">
        <v>49</v>
      </c>
      <c r="C19" s="21"/>
      <c r="F19" t="str">
        <f>IF(AND($C$12="HTTPS接続のみ",C19="オプションあり"),"NG","OK")</f>
        <v>OK</v>
      </c>
      <c r="G19" s="2" t="b">
        <f>AND(F19="OK")</f>
        <v>1</v>
      </c>
    </row>
    <row r="20" spans="2:11" x14ac:dyDescent="0.45">
      <c r="B20" s="8" t="s">
        <v>7</v>
      </c>
      <c r="C20" s="20"/>
    </row>
    <row r="21" spans="2:11" x14ac:dyDescent="0.45">
      <c r="B21" s="8" t="s">
        <v>74</v>
      </c>
      <c r="C21" s="20"/>
    </row>
    <row r="22" spans="2:11" x14ac:dyDescent="0.45">
      <c r="B22" s="8" t="s">
        <v>48</v>
      </c>
      <c r="C22" s="9" t="str">
        <f>IF(AND($C$20="",$C$21=""),"",
IF(AND($C$20="オプションあり",OR($C$21="オプションあり",$C$21="オプションなし",$C$21="")),"オプションあり",
IF(AND($C$20="オプションなし",OR($C$21="オプションあり")),"オプションあり",
IF(AND($C$21="オプションあり",OR($C$20="オプションあり",$C$20="オプションなし",$C$20="")),"オプションあり",
IF(AND($C$21="オプションなし",OR($C$20="オプションあり")),"オプションあり",
IF(AND($C$20="オプションなし",$C$21="オプションなし"),"オプションなし",
IF(AND(OR($C$20="オプションなし",$C$21="オプションなし"),OR($C$20="",$C$21="")),"オプションなし",
)))))))</f>
        <v/>
      </c>
      <c r="F22" s="2" t="str">
        <f>IF($C$22="オプションあり",IF(OR($C$20="オプションあり",$C$21="オプションあり"),"OK","NG"),"OK")</f>
        <v>OK</v>
      </c>
      <c r="G22" s="2" t="b">
        <f>IF(F22="OK",TRUE,FALSE)</f>
        <v>1</v>
      </c>
    </row>
    <row r="23" spans="2:11" x14ac:dyDescent="0.45">
      <c r="B23" s="8" t="s">
        <v>75</v>
      </c>
      <c r="C23" s="21"/>
    </row>
    <row r="24" spans="2:11" x14ac:dyDescent="0.45">
      <c r="B24" s="10" t="s">
        <v>6</v>
      </c>
      <c r="C24" s="22"/>
    </row>
    <row r="25" spans="2:11" x14ac:dyDescent="0.45">
      <c r="K25" s="16"/>
    </row>
    <row r="26" spans="2:11" ht="18.600000000000001" thickBot="1" x14ac:dyDescent="0.5">
      <c r="B26" s="53" t="s">
        <v>34</v>
      </c>
      <c r="C26" s="54"/>
    </row>
    <row r="27" spans="2:11" ht="18.600000000000001" thickTop="1" x14ac:dyDescent="0.45">
      <c r="B27" s="7" t="s">
        <v>18</v>
      </c>
      <c r="C27" s="19" t="s">
        <v>69</v>
      </c>
      <c r="D27" t="str">
        <f>IF(AND(C29="利用する",C27&lt;&gt;443),"NG","OK")</f>
        <v>OK</v>
      </c>
    </row>
    <row r="28" spans="2:11" x14ac:dyDescent="0.45">
      <c r="B28" s="8" t="s">
        <v>5</v>
      </c>
      <c r="C28" s="21" t="s">
        <v>69</v>
      </c>
    </row>
    <row r="29" spans="2:11" x14ac:dyDescent="0.45">
      <c r="B29" s="8" t="s">
        <v>95</v>
      </c>
      <c r="C29" s="21"/>
    </row>
    <row r="30" spans="2:11" x14ac:dyDescent="0.45">
      <c r="B30" s="8" t="s">
        <v>4</v>
      </c>
      <c r="C30" s="21" t="s">
        <v>69</v>
      </c>
      <c r="D30" t="str">
        <f>IF(AND(C32="利用する",C30&lt;&gt;443),"NG","OK")</f>
        <v>OK</v>
      </c>
    </row>
    <row r="31" spans="2:11" x14ac:dyDescent="0.45">
      <c r="B31" s="8" t="s">
        <v>3</v>
      </c>
      <c r="C31" s="21" t="s">
        <v>35</v>
      </c>
    </row>
    <row r="32" spans="2:11" x14ac:dyDescent="0.45">
      <c r="B32" s="8" t="s">
        <v>95</v>
      </c>
      <c r="C32" s="21"/>
    </row>
    <row r="33" spans="2:7" x14ac:dyDescent="0.45">
      <c r="B33" s="10" t="s">
        <v>85</v>
      </c>
      <c r="C33" s="36"/>
      <c r="D33" t="str">
        <f>IF(AND($C$16="オプションあり",$C$33=""),"NG","OK")</f>
        <v>OK</v>
      </c>
      <c r="G33" s="2" t="b">
        <f>AND($D$33="OK")</f>
        <v>1</v>
      </c>
    </row>
    <row r="35" spans="2:7" ht="18.600000000000001" thickBot="1" x14ac:dyDescent="0.5">
      <c r="B35" s="27" t="s">
        <v>65</v>
      </c>
      <c r="C35" s="5"/>
    </row>
    <row r="36" spans="2:7" ht="18.600000000000001" thickTop="1" x14ac:dyDescent="0.45">
      <c r="B36" s="7" t="s">
        <v>2</v>
      </c>
      <c r="C36" s="9" t="s">
        <v>12</v>
      </c>
    </row>
    <row r="37" spans="2:7" x14ac:dyDescent="0.45">
      <c r="B37" s="8" t="s">
        <v>96</v>
      </c>
      <c r="C37" s="21"/>
      <c r="D37" t="str">
        <f>IF(AND($C$12="VPN接続のみ",C37=""),"NG","OK")</f>
        <v>OK</v>
      </c>
      <c r="E37" t="str">
        <f>IF(AND($C$12="VPN+HTTPS接続",C37=""),"NG","OK")</f>
        <v>OK</v>
      </c>
      <c r="F37" t="str">
        <f t="shared" ref="F37:F41" si="0">IF(AND($C$12="HTTPS接続のみ",C37&lt;&gt;0),"NG","OK")</f>
        <v>OK</v>
      </c>
      <c r="G37" s="2" t="b">
        <f t="shared" ref="G37:G44" si="1">AND(D37=E37,D37=F37)</f>
        <v>1</v>
      </c>
    </row>
    <row r="38" spans="2:7" x14ac:dyDescent="0.45">
      <c r="B38" s="8" t="s">
        <v>97</v>
      </c>
      <c r="C38" s="46"/>
      <c r="D38" t="str">
        <f>IF(AND($C$12="VPN接続のみ",C38=""),"NG","OK")</f>
        <v>OK</v>
      </c>
      <c r="E38" t="str">
        <f>IF(AND($C$12="VPN+HTTPS接続",C38=""),"NG","OK")</f>
        <v>OK</v>
      </c>
      <c r="F38" t="str">
        <f t="shared" si="0"/>
        <v>OK</v>
      </c>
      <c r="G38" s="2" t="b">
        <f t="shared" si="1"/>
        <v>1</v>
      </c>
    </row>
    <row r="39" spans="2:7" ht="70.2" x14ac:dyDescent="0.45">
      <c r="B39" s="15" t="s">
        <v>100</v>
      </c>
      <c r="C39" s="41"/>
      <c r="D39" t="str">
        <f>IF(AND($C$12="VPN接続のみ",OR(C39="",C39="未確認")),"NG","OK")</f>
        <v>OK</v>
      </c>
      <c r="E39" t="str">
        <f>IF(AND($C$12="VPN+HTTPS接続",OR(C39="",C39="未確認")),"NG","OK")</f>
        <v>OK</v>
      </c>
      <c r="F39" t="str">
        <f>IF(AND($C$12="HTTPS接続のみ",C39&lt;&gt;""),"NG","OK")</f>
        <v>OK</v>
      </c>
      <c r="G39" s="2" t="b">
        <f t="shared" ref="G39" si="2">AND(D39=E39,D39=F39)</f>
        <v>1</v>
      </c>
    </row>
    <row r="40" spans="2:7" x14ac:dyDescent="0.45">
      <c r="B40" s="42" t="s">
        <v>99</v>
      </c>
      <c r="C40" s="44"/>
    </row>
    <row r="41" spans="2:7" x14ac:dyDescent="0.45">
      <c r="B41" s="8" t="s">
        <v>1</v>
      </c>
      <c r="C41" s="21"/>
      <c r="D41" t="str">
        <f>IF(AND($C$12="VPN接続のみ",C41=""),"NG","OK")</f>
        <v>OK</v>
      </c>
      <c r="E41" t="str">
        <f>IF(AND($C$12="VPN+HTTPS接続",C41=""),"NG","OK")</f>
        <v>OK</v>
      </c>
      <c r="F41" t="str">
        <f t="shared" si="0"/>
        <v>OK</v>
      </c>
      <c r="G41" s="2" t="b">
        <f t="shared" si="1"/>
        <v>1</v>
      </c>
    </row>
    <row r="42" spans="2:7" x14ac:dyDescent="0.45">
      <c r="B42" s="43" t="s">
        <v>108</v>
      </c>
      <c r="C42" s="38"/>
      <c r="D42" t="str">
        <f>IF(AND($C$12="VPN接続のみ",$C$41="BGPを利用する",C42=""),"NG","OK")</f>
        <v>OK</v>
      </c>
      <c r="E42" t="str">
        <f>IF(AND($C$12="VPN+HTTPS接続",$C$41="BGPを利用する",C42=""),"NG","OK")</f>
        <v>OK</v>
      </c>
      <c r="F42" t="str">
        <f>IF(AND($C$12="HTTPS接続のみ",C42&lt;&gt;0),"NG","OK")</f>
        <v>OK</v>
      </c>
      <c r="G42" s="2" t="b">
        <f t="shared" ref="G42" si="3">AND(D42=E42,D42=F42)</f>
        <v>1</v>
      </c>
    </row>
    <row r="43" spans="2:7" x14ac:dyDescent="0.45">
      <c r="B43" s="15" t="s">
        <v>92</v>
      </c>
      <c r="C43" s="21"/>
      <c r="D43" t="str">
        <f>IF(AND($C$12="VPN接続のみ",$C$41="BGPを利用する",C43=""),"NG","OK")</f>
        <v>OK</v>
      </c>
      <c r="E43" t="str">
        <f>IF(AND($C$12="VPN+HTTPS接続",$C$41="BGPを利用する",C43=""),"NG","OK")</f>
        <v>OK</v>
      </c>
      <c r="F43" t="str">
        <f>IF(AND($C$12="HTTPS接続のみ",C43&lt;&gt;0),"NG","OK")</f>
        <v>OK</v>
      </c>
      <c r="G43" s="2" t="b">
        <f t="shared" si="1"/>
        <v>1</v>
      </c>
    </row>
    <row r="44" spans="2:7" ht="36" x14ac:dyDescent="0.45">
      <c r="B44" s="8" t="s">
        <v>66</v>
      </c>
      <c r="C44" s="21"/>
      <c r="D44" t="str">
        <f>IF(AND($C$12="VPN接続のみ",C44=""),"NG","OK")</f>
        <v>OK</v>
      </c>
      <c r="E44" t="str">
        <f>IF(AND($C$12="VPN+HTTPS接続",C44=""),"NG","OK")</f>
        <v>OK</v>
      </c>
      <c r="F44" t="str">
        <f>IF(AND($C$12="HTTPS接続のみ",C44&lt;&gt;0),"NG","OK")</f>
        <v>OK</v>
      </c>
      <c r="G44" s="2" t="b">
        <f t="shared" si="1"/>
        <v>1</v>
      </c>
    </row>
    <row r="45" spans="2:7" ht="36" x14ac:dyDescent="0.45">
      <c r="B45" s="30" t="s">
        <v>67</v>
      </c>
      <c r="C45" s="18"/>
      <c r="D45" t="str">
        <f>IF(AND($C$12="VPN接続のみ",C45=""),"NG","OK")</f>
        <v>OK</v>
      </c>
      <c r="E45" t="str">
        <f>IF(AND($C$12="VPN+HTTPS接続",C45=""),"NG","OK")</f>
        <v>OK</v>
      </c>
      <c r="F45" t="str">
        <f>IF(AND($C$12="HTTPS接続のみ",C45&lt;&gt;0),"NG","OK")</f>
        <v>OK</v>
      </c>
      <c r="G45" s="2" t="b">
        <f t="shared" ref="G45" si="4">AND(D45=E45,D45=F45)</f>
        <v>1</v>
      </c>
    </row>
    <row r="47" spans="2:7" ht="18.600000000000001" thickBot="1" x14ac:dyDescent="0.5">
      <c r="B47" s="27" t="s">
        <v>90</v>
      </c>
      <c r="C47" s="5"/>
    </row>
    <row r="48" spans="2:7" ht="18.600000000000001" thickTop="1" x14ac:dyDescent="0.45">
      <c r="B48" s="7" t="s">
        <v>103</v>
      </c>
      <c r="C48" s="45"/>
      <c r="D48" t="str">
        <f>IF($C$12="VPN接続のみ","OK","OK")</f>
        <v>OK</v>
      </c>
      <c r="E48" t="str">
        <f>IF(AND($C$12="VPN+https接続",C48=""),"NG","OK")</f>
        <v>OK</v>
      </c>
      <c r="F48" t="str">
        <f>IF(AND($C$12="https接続のみ",C48=""),"NG","OK")</f>
        <v>OK</v>
      </c>
      <c r="G48" s="2" t="b">
        <f>AND(D48=E48,D48=F48)</f>
        <v>1</v>
      </c>
    </row>
    <row r="49" spans="2:7" x14ac:dyDescent="0.45">
      <c r="B49" s="39" t="s">
        <v>93</v>
      </c>
      <c r="C49" s="21"/>
      <c r="D49" t="str">
        <f>IF($C$12="VPN接続のみ","OK","OK")</f>
        <v>OK</v>
      </c>
      <c r="E49" t="str">
        <f>IF(AND($C$12="VPN+https接続",AND($C48="プロキシサーバーを指定する",$C49="")),"NG","OK")</f>
        <v>OK</v>
      </c>
      <c r="F49" t="str">
        <f>IF(AND($C$12="https接続のみ",AND($C48="プロキシサーバーを指定する",$C49="")),"NG","OK")</f>
        <v>OK</v>
      </c>
      <c r="G49" s="2" t="b">
        <f>AND(D49=E49,D49=F49)</f>
        <v>1</v>
      </c>
    </row>
    <row r="50" spans="2:7" x14ac:dyDescent="0.45">
      <c r="B50" s="40" t="s">
        <v>94</v>
      </c>
      <c r="C50" s="22"/>
      <c r="D50" t="str">
        <f>IF($C$12="VPN接続のみ","OK","OK")</f>
        <v>OK</v>
      </c>
      <c r="E50" t="str">
        <f>IF(AND($C$12="VPN+https接続",AND($C48="プロキシサーバーを指定する",$C50="")),"NG","OK")</f>
        <v>OK</v>
      </c>
      <c r="F50" t="str">
        <f>IF(AND($C$12="https接続のみ",AND($C48="プロキシサーバーを指定する",$C50="")),"NG","OK")</f>
        <v>OK</v>
      </c>
      <c r="G50" s="2" t="b">
        <f>AND(D50=E50,D50=F50)</f>
        <v>1</v>
      </c>
    </row>
    <row r="51" spans="2:7" x14ac:dyDescent="0.45">
      <c r="B51" s="59"/>
      <c r="C51" s="59"/>
    </row>
    <row r="52" spans="2:7" ht="18.600000000000001" thickBot="1" x14ac:dyDescent="0.5">
      <c r="B52" s="27" t="s">
        <v>68</v>
      </c>
      <c r="C52" s="5"/>
    </row>
    <row r="53" spans="2:7" ht="18.600000000000001" thickTop="1" x14ac:dyDescent="0.45">
      <c r="B53" s="8" t="s">
        <v>17</v>
      </c>
      <c r="C53" s="21"/>
      <c r="D53" t="str">
        <f>IF(AND(OR($C$12="VPN接続のみ",$C$12="VPN+https接続"),C53=""),"NG","OK")</f>
        <v>OK</v>
      </c>
      <c r="E53" t="str">
        <f>IF(AND($C$12="https接続のみ",C53&lt;&gt;"ホスト名"),"NG","OK")</f>
        <v>OK</v>
      </c>
      <c r="F53" t="str">
        <f>IF(AND($C$54="httpsゲートウェイサーバ経由(https)",C53&lt;&gt;"ホスト名"),"NG","OK")</f>
        <v>OK</v>
      </c>
      <c r="G53" s="2" t="b">
        <f>AND(D53=E53,D53=F53)</f>
        <v>1</v>
      </c>
    </row>
    <row r="54" spans="2:7" x14ac:dyDescent="0.45">
      <c r="B54" s="14" t="s">
        <v>98</v>
      </c>
      <c r="C54" s="22"/>
      <c r="D54" t="str">
        <f>IF(AND($C$12="VPN接続のみ",C54&lt;&gt;"直接通信(TCP/IP)"),"NG","OK")</f>
        <v>OK</v>
      </c>
      <c r="E54" t="str">
        <f>IF(AND($C$12="VPN+https接続",C54=""),"NG","OK")</f>
        <v>OK</v>
      </c>
      <c r="F54" t="str">
        <f>IF(AND($C$12="HTTPS接続のみ",C54&lt;&gt;"HTTPSゲートウェイサーバ経由(HTTPS)"),"NG","OK")</f>
        <v>OK</v>
      </c>
      <c r="G54" s="2" t="b">
        <f>AND(D54=F54,D54=E54)</f>
        <v>1</v>
      </c>
    </row>
    <row r="55" spans="2:7" x14ac:dyDescent="0.45">
      <c r="B55" s="59" t="s">
        <v>107</v>
      </c>
      <c r="C55" s="59"/>
    </row>
    <row r="56" spans="2:7" ht="18.600000000000001" thickBot="1" x14ac:dyDescent="0.5">
      <c r="B56" s="4" t="s">
        <v>50</v>
      </c>
      <c r="C56" s="5"/>
    </row>
    <row r="57" spans="2:7" ht="31.8" thickTop="1" x14ac:dyDescent="0.45">
      <c r="B57" s="7" t="s">
        <v>71</v>
      </c>
      <c r="C57" s="38"/>
      <c r="E57" t="str">
        <f>IF(AND($C$57&lt;&gt;"",$C$58&lt;&gt;""),IF(選択肢!$D$6=$C$57,"OK","NG"),"OK")</f>
        <v>OK</v>
      </c>
      <c r="F57" t="str">
        <f>IF($C$12="","OK",IF($C$57&lt;&gt;"","OK"))</f>
        <v>OK</v>
      </c>
      <c r="G57" s="2" t="b">
        <f>AND(F57="OK",E57="OK")</f>
        <v>1</v>
      </c>
    </row>
    <row r="58" spans="2:7" x14ac:dyDescent="0.45">
      <c r="B58" s="8" t="s">
        <v>13</v>
      </c>
      <c r="C58" s="9" t="str">
        <f>IF(OR(C13="オプションあり",C10="S1H Cloud Edition",C10="S3H Cloud Edition"),"23bit",IF(C13="オプションなし","24bit",IF(AND(C13="",C12="VPN接続のみ"),"24bit","")))</f>
        <v/>
      </c>
      <c r="F58" t="str">
        <f>IF($C$12="","OK",IF(OR($C$58="23bit",$C$58="24bit"),"OK","NG"))</f>
        <v>OK</v>
      </c>
      <c r="G58" s="2" t="b">
        <f>AND(F58="OK")</f>
        <v>1</v>
      </c>
    </row>
    <row r="59" spans="2:7" x14ac:dyDescent="0.45">
      <c r="B59" s="8" t="str">
        <f>IF(C11&gt;1000,"マスターサーバーのホスト名","マスターサーバー兼データーサーバーのホスト名")</f>
        <v>マスターサーバー兼データーサーバーのホスト名</v>
      </c>
      <c r="C59" s="21" t="s">
        <v>53</v>
      </c>
      <c r="F59" t="str">
        <f>IF($C$12="","OK",IF($C$59&lt;&gt;0,"OK","NG"))</f>
        <v>OK</v>
      </c>
      <c r="G59" s="2" t="b">
        <f>AND(F59="OK")</f>
        <v>1</v>
      </c>
    </row>
    <row r="60" spans="2:7" x14ac:dyDescent="0.45">
      <c r="B60" s="8" t="s">
        <v>22</v>
      </c>
      <c r="C60" s="21" t="s">
        <v>54</v>
      </c>
      <c r="E60" t="str">
        <f>IF(AND(C11&gt;=1000,C60=""),"NG","OK")</f>
        <v>OK</v>
      </c>
      <c r="G60" s="2" t="b">
        <f>AND(E60="OK")</f>
        <v>1</v>
      </c>
    </row>
    <row r="61" spans="2:7" x14ac:dyDescent="0.45">
      <c r="B61" s="8" t="s">
        <v>59</v>
      </c>
      <c r="C61" s="21"/>
      <c r="D61" t="str">
        <f>IF(AND($C$12="VPN接続のみ",C61=""),"NG","OK")</f>
        <v>OK</v>
      </c>
      <c r="E61" t="str">
        <f>IF(AND($C$12="VPN+https接続",C61="ホスト名"),"OK",
IF(AND($C$12="VPN+https接続",C61=""),"NG",
"OK"))</f>
        <v>OK</v>
      </c>
      <c r="F61" t="str">
        <f>IF(AND($C$12="HTTPS接続のみ",C61="ホスト名"),"OK",
IF(AND($C$12="HTTPS接続のみ",C61&lt;&gt;0),"NG",
"OK"))</f>
        <v>OK</v>
      </c>
      <c r="G61" s="2" t="b">
        <f>AND(D61=F61,D61=E61)</f>
        <v>1</v>
      </c>
    </row>
    <row r="62" spans="2:7" ht="33" x14ac:dyDescent="0.45">
      <c r="B62" s="8" t="s">
        <v>60</v>
      </c>
      <c r="C62" s="21"/>
      <c r="D62" t="str">
        <f>IF(AND($C$12="VPN接続のみ",C62=""),"NG","OK")</f>
        <v>OK</v>
      </c>
      <c r="E62" t="str">
        <f>IF(AND($C$12="VPN+https接続",C62=""),"NG","OK")</f>
        <v>OK</v>
      </c>
      <c r="F62" t="str">
        <f>IF(AND($C$12="HTTPS接続のみ",C62&lt;&gt;0),"NG","OK")</f>
        <v>OK</v>
      </c>
      <c r="G62" s="2" t="b">
        <f>AND(D62=F62,D62=E62)</f>
        <v>1</v>
      </c>
    </row>
    <row r="63" spans="2:7" x14ac:dyDescent="0.45">
      <c r="B63" s="10" t="s">
        <v>14</v>
      </c>
      <c r="C63" s="22" t="s">
        <v>38</v>
      </c>
    </row>
    <row r="64" spans="2:7" x14ac:dyDescent="0.45">
      <c r="B64" s="37" t="s">
        <v>87</v>
      </c>
      <c r="G64" s="2" t="b">
        <f>AND($C$12=$E$9,$C$61="IPアドレス")</f>
        <v>0</v>
      </c>
    </row>
    <row r="65" spans="2:8" ht="18.600000000000001" thickBot="1" x14ac:dyDescent="0.5">
      <c r="B65" s="4" t="s">
        <v>33</v>
      </c>
      <c r="C65" s="5"/>
    </row>
    <row r="66" spans="2:8" ht="36.6" thickTop="1" x14ac:dyDescent="0.45">
      <c r="B66" s="48" t="s">
        <v>62</v>
      </c>
      <c r="C66" s="49" t="s">
        <v>32</v>
      </c>
    </row>
    <row r="68" spans="2:8" ht="18.600000000000001" thickBot="1" x14ac:dyDescent="0.5">
      <c r="B68" s="4" t="s">
        <v>0</v>
      </c>
      <c r="C68" s="5"/>
    </row>
    <row r="69" spans="2:8" ht="18.600000000000001" thickTop="1" x14ac:dyDescent="0.45">
      <c r="B69" s="55"/>
      <c r="C69" s="56"/>
    </row>
    <row r="70" spans="2:8" x14ac:dyDescent="0.45">
      <c r="B70" s="55"/>
      <c r="C70" s="56"/>
    </row>
    <row r="71" spans="2:8" x14ac:dyDescent="0.45">
      <c r="B71" s="55"/>
      <c r="C71" s="56"/>
    </row>
    <row r="72" spans="2:8" x14ac:dyDescent="0.45">
      <c r="B72" s="55"/>
      <c r="C72" s="56"/>
    </row>
    <row r="73" spans="2:8" x14ac:dyDescent="0.45">
      <c r="B73" s="55"/>
      <c r="C73" s="56"/>
    </row>
    <row r="74" spans="2:8" x14ac:dyDescent="0.45">
      <c r="B74" s="55"/>
      <c r="C74" s="56"/>
    </row>
    <row r="75" spans="2:8" x14ac:dyDescent="0.45">
      <c r="B75" s="57"/>
      <c r="C75" s="58"/>
    </row>
    <row r="76" spans="2:8" x14ac:dyDescent="0.45">
      <c r="C76" s="13">
        <v>45288</v>
      </c>
      <c r="G76" s="13"/>
      <c r="H76" s="13"/>
    </row>
  </sheetData>
  <sheetProtection algorithmName="SHA-512" hashValue="/IN5IRPjGYCAzPh/5ICxGqJwg2UbIRVvuz5IiuJH5jnFjDEJbXz5S28+gdywYuYJrPLornDby/sX/4YeCYquWA==" saltValue="2Tn5ZpkkqsVL/g679yzv3A==" spinCount="100000" sheet="1" formatRows="0"/>
  <mergeCells count="5">
    <mergeCell ref="B1:C1"/>
    <mergeCell ref="B26:C26"/>
    <mergeCell ref="B69:C75"/>
    <mergeCell ref="B55:C55"/>
    <mergeCell ref="B51:C51"/>
  </mergeCells>
  <phoneticPr fontId="1"/>
  <conditionalFormatting sqref="B64">
    <cfRule type="expression" dxfId="88" priority="22">
      <formula>$G$64</formula>
    </cfRule>
  </conditionalFormatting>
  <conditionalFormatting sqref="B10:C10">
    <cfRule type="expression" dxfId="87" priority="30">
      <formula>$G$10=FALSE</formula>
    </cfRule>
  </conditionalFormatting>
  <conditionalFormatting sqref="B11:C11">
    <cfRule type="expression" dxfId="86" priority="39">
      <formula>$G$11=FALSE</formula>
    </cfRule>
  </conditionalFormatting>
  <conditionalFormatting sqref="B12:C12">
    <cfRule type="expression" dxfId="85" priority="40">
      <formula>$G$12=FALSE</formula>
    </cfRule>
  </conditionalFormatting>
  <conditionalFormatting sqref="B13:C13">
    <cfRule type="expression" dxfId="84" priority="6">
      <formula>$C$12="VPN接続のみ"</formula>
    </cfRule>
    <cfRule type="expression" dxfId="83" priority="21">
      <formula>$C$13="オプションなし"</formula>
    </cfRule>
  </conditionalFormatting>
  <conditionalFormatting sqref="B14:C14">
    <cfRule type="expression" dxfId="82" priority="50">
      <formula>$G$14=FALSE</formula>
    </cfRule>
    <cfRule type="expression" dxfId="81" priority="59">
      <formula>$C$12="VPN接続のみ"</formula>
    </cfRule>
  </conditionalFormatting>
  <conditionalFormatting sqref="B15:C15">
    <cfRule type="expression" dxfId="80" priority="3">
      <formula>$D$15="NG"</formula>
    </cfRule>
  </conditionalFormatting>
  <conditionalFormatting sqref="B16:C16 B19:C19 B36:C45 B61:C62">
    <cfRule type="expression" dxfId="79" priority="7">
      <formula>$C$12="HTTPS接続のみ"</formula>
    </cfRule>
  </conditionalFormatting>
  <conditionalFormatting sqref="B16:C16">
    <cfRule type="expression" dxfId="78" priority="55">
      <formula>$G$16=FALSE</formula>
    </cfRule>
  </conditionalFormatting>
  <conditionalFormatting sqref="B17:C17">
    <cfRule type="expression" dxfId="77" priority="43">
      <formula>$G$17=FALSE</formula>
    </cfRule>
  </conditionalFormatting>
  <conditionalFormatting sqref="B19:C19">
    <cfRule type="expression" dxfId="76" priority="42">
      <formula>$G$19=FALSE</formula>
    </cfRule>
  </conditionalFormatting>
  <conditionalFormatting sqref="B22:C22">
    <cfRule type="expression" dxfId="75" priority="29">
      <formula>$G$22=FALSE</formula>
    </cfRule>
  </conditionalFormatting>
  <conditionalFormatting sqref="B27:C27">
    <cfRule type="expression" dxfId="74" priority="37">
      <formula>$D$27="NG"</formula>
    </cfRule>
  </conditionalFormatting>
  <conditionalFormatting sqref="B30:C30">
    <cfRule type="expression" dxfId="73" priority="36">
      <formula>$D$30="NG"</formula>
    </cfRule>
  </conditionalFormatting>
  <conditionalFormatting sqref="B33:C33">
    <cfRule type="expression" dxfId="72" priority="23">
      <formula>NOT($G$33)</formula>
    </cfRule>
    <cfRule type="expression" dxfId="71" priority="24">
      <formula>$C$12="https接続のみ"</formula>
    </cfRule>
    <cfRule type="expression" dxfId="70" priority="25">
      <formula>$C$16="オプションなし"</formula>
    </cfRule>
  </conditionalFormatting>
  <conditionalFormatting sqref="B37:C37">
    <cfRule type="expression" dxfId="69" priority="61">
      <formula>$G$37=FALSE</formula>
    </cfRule>
  </conditionalFormatting>
  <conditionalFormatting sqref="B38:C38">
    <cfRule type="expression" dxfId="68" priority="49">
      <formula>$G$38=FALSE</formula>
    </cfRule>
  </conditionalFormatting>
  <conditionalFormatting sqref="B39:C39">
    <cfRule type="expression" dxfId="67" priority="48">
      <formula>$G$39=FALSE</formula>
    </cfRule>
  </conditionalFormatting>
  <conditionalFormatting sqref="B41:C41">
    <cfRule type="expression" dxfId="66" priority="10">
      <formula>$G$41=FALSE</formula>
    </cfRule>
  </conditionalFormatting>
  <conditionalFormatting sqref="B42:C42">
    <cfRule type="expression" dxfId="65" priority="8">
      <formula>$G$42=FALSE</formula>
    </cfRule>
  </conditionalFormatting>
  <conditionalFormatting sqref="B42:C43">
    <cfRule type="expression" dxfId="64" priority="46">
      <formula>$C$41="BGPを利用しない"</formula>
    </cfRule>
  </conditionalFormatting>
  <conditionalFormatting sqref="B43:C43">
    <cfRule type="expression" dxfId="63" priority="44">
      <formula>$G$43=FALSE</formula>
    </cfRule>
  </conditionalFormatting>
  <conditionalFormatting sqref="B48:C48">
    <cfRule type="expression" dxfId="62" priority="1">
      <formula>OR($C$12="VPN接続のみ",$C$12="")</formula>
    </cfRule>
  </conditionalFormatting>
  <conditionalFormatting sqref="B48:C50">
    <cfRule type="expression" dxfId="61" priority="2">
      <formula>$G48=FALSE</formula>
    </cfRule>
  </conditionalFormatting>
  <conditionalFormatting sqref="B49:C50">
    <cfRule type="expression" dxfId="60" priority="13">
      <formula>$C$48&lt;&gt;"プロキシサーバーを指定する"</formula>
    </cfRule>
  </conditionalFormatting>
  <conditionalFormatting sqref="B53:C53">
    <cfRule type="expression" dxfId="59" priority="58">
      <formula>$G$53=FALSE</formula>
    </cfRule>
  </conditionalFormatting>
  <conditionalFormatting sqref="B54:C54">
    <cfRule type="expression" dxfId="58" priority="57">
      <formula>$G$54=FALSE</formula>
    </cfRule>
  </conditionalFormatting>
  <conditionalFormatting sqref="B57:C57">
    <cfRule type="expression" dxfId="57" priority="54">
      <formula>$G$57=FALSE</formula>
    </cfRule>
  </conditionalFormatting>
  <conditionalFormatting sqref="B58:C58">
    <cfRule type="expression" dxfId="56" priority="41">
      <formula>$G$58=FALSE</formula>
    </cfRule>
  </conditionalFormatting>
  <conditionalFormatting sqref="B59:C59">
    <cfRule type="expression" dxfId="55" priority="53">
      <formula>$G$59=FALSE</formula>
    </cfRule>
  </conditionalFormatting>
  <conditionalFormatting sqref="B60:C60">
    <cfRule type="expression" dxfId="54" priority="56">
      <formula>$G$60=FALSE</formula>
    </cfRule>
    <cfRule type="expression" dxfId="53" priority="60">
      <formula>$C$11&lt;1000</formula>
    </cfRule>
  </conditionalFormatting>
  <conditionalFormatting sqref="B61:C61">
    <cfRule type="expression" dxfId="52" priority="52">
      <formula>$G$61=FALSE</formula>
    </cfRule>
  </conditionalFormatting>
  <conditionalFormatting sqref="B62:C62">
    <cfRule type="expression" dxfId="51" priority="51">
      <formula>$G$62=FALSE</formula>
    </cfRule>
  </conditionalFormatting>
  <conditionalFormatting sqref="C10">
    <cfRule type="containsText" dxfId="50" priority="27" operator="containsText" text="H">
      <formula>NOT(ISERROR(SEARCH("H",C10)))</formula>
    </cfRule>
  </conditionalFormatting>
  <conditionalFormatting sqref="C27:C28 C30:C31 C66">
    <cfRule type="cellIs" dxfId="49" priority="33" operator="equal">
      <formula>"（ご記入は任意です）"</formula>
    </cfRule>
  </conditionalFormatting>
  <conditionalFormatting sqref="C59:C60">
    <cfRule type="cellIs" dxfId="48" priority="35" operator="equal">
      <formula>"既定のホスト名を利用"</formula>
    </cfRule>
  </conditionalFormatting>
  <conditionalFormatting sqref="C63">
    <cfRule type="cellIs" dxfId="47" priority="34" operator="equal">
      <formula>"52300(初期値)"</formula>
    </cfRule>
  </conditionalFormatting>
  <conditionalFormatting sqref="G10:H10">
    <cfRule type="expression" dxfId="46" priority="31">
      <formula>$G$11=FALSE</formula>
    </cfRule>
  </conditionalFormatting>
  <dataValidations xWindow="938" yWindow="384" count="35">
    <dataValidation type="list" allowBlank="1" showInputMessage="1" showErrorMessage="1" prompt="「システム構成」にて「https接続のみ」を選択した場合、本オプションは利用できません。" sqref="C19 C16" xr:uid="{108ED972-2E62-45AE-9DCB-97613F967CEA}">
      <formula1>"オプションあり,オプションなし"</formula1>
    </dataValidation>
    <dataValidation type="textLength" operator="lessThanOrEqual" allowBlank="1" showInputMessage="1" showErrorMessage="1" error="半角英数字10文字以内で入力してください。" prompt="Microsoft Azure環境内に構築するデーターサーバーのホスト名を記入してください。_x000a_ (半角英数字10文字以内、希望のホスト名が使用できない可能性があります)_x000a_ホスト名を指定しない場合は、弊社既定の命名規則にて登録を行います。_x000a_1,000台以下の場合は、記入不要です。" sqref="C60" xr:uid="{82EC95E1-CF6F-4081-9199-A957B1369505}">
      <formula1>10</formula1>
    </dataValidation>
    <dataValidation allowBlank="1" showInputMessage="1" showErrorMessage="1" prompt="SKYSEA Client Viewが利用するポート番号を変更する必要がある場合のみ記入してください。_x000a_記入がない場合初期値の52300を使用します。" sqref="C63" xr:uid="{C61915E4-8DE8-4889-BA01-E95D65F23995}"/>
    <dataValidation allowBlank="1" showInputMessage="1" showErrorMessage="1" prompt="SKYSEA Client ViewのエージェントをインストールするPCのネットワークアドレス(プライベートIPアドレス)を記入してください。_x000a_必ず、ネットワークアドレス空間の開始アドレスをCIDR形式(x.x.x.x/xx)で指定してください。_x000a_こちらに記載したセグメントからAzure上のサーバーへアクセス可能です。" sqref="C62" xr:uid="{714A6ABC-0514-4D11-82FE-37DD5A0BB79C}"/>
    <dataValidation type="textLength" operator="lessThanOrEqual" allowBlank="1" showInputMessage="1" showErrorMessage="1" error="半角英数字10文字以内で入力してください。" prompt="Microsoft Azure環境内に構築するマスターサーバーのホスト名を記入してください。_x000a_ (半角英数字10文字以内、希望のホスト名が使用できない可能性があります)_x000a_ホスト名を指定しない場合は、弊社既定の命名規則にて登録を行います。" sqref="C59" xr:uid="{1C23EC72-9785-4855-8EE9-9ED5EB6CF8F2}">
      <formula1>10</formula1>
    </dataValidation>
    <dataValidation allowBlank="1" showInputMessage="1" showErrorMessage="1" prompt="httpsゲートウェイ オプションを利用する場合は23bit、利用しない場合24bitで固定されます。" sqref="C58" xr:uid="{2A1B4765-E0DA-4C92-9D07-3E6EE20E12ED}"/>
    <dataValidation type="custom" allowBlank="1" showInputMessage="1" showErrorMessage="1" error="IPアドレスとして有効な形式で入力してください。(xxx.xxx.xxx.xxx)" prompt="「システム構成」にて「VPN接続のみ」もしくは「VPN+https接続」を選択とされた場合は、社内環境と重複しないネットワークセグメントを指定してください。_x000a_「システム構成」にて「https接続のみ」を選択した場合でも、将来VPNでの接続をご検討の場合は、既存ネットワークと重複しないセグメントを指定ください。_x000a_なお、契約後のサーバーセグメントおよびIPアドレスの変更はできません。" sqref="C57" xr:uid="{0E186ACA-5291-424A-932F-13321EA3F541}">
      <formula1>AND((LEN(C57)-LEN(SUBSTITUTE(C57,".","")))=3,ISNUMBER(SUBSTITUTE(C57,".","")+0))</formula1>
    </dataValidation>
    <dataValidation type="whole" allowBlank="1" showInputMessage="1" showErrorMessage="1" error="64512～65534の範囲で指定してください。" prompt="BGPで利用しているAS番号を記入してください。_x000a_※AS番号は、64512～65534で記入してください。" sqref="C43" xr:uid="{4924774A-C1C4-4B07-86A2-61FF3FFD2B72}">
      <formula1>64512</formula1>
      <formula2>65534</formula2>
    </dataValidation>
    <dataValidation type="list" allowBlank="1" showInputMessage="1" showErrorMessage="1" prompt="VPN機器でBorder Gateway Protocol(BGP)を利用している場合は、「BGPを利用する」を選択してください。_x000a_Azure環境との接続経路を冗長化する場合は、お客様のVPNルータ側にてBGPを構成する必要があります。_x000a_" sqref="C41" xr:uid="{BA491502-AD7E-4DAF-9E0B-0F0867919C58}">
      <formula1>"BGPを利用する,BGPを利用しない"</formula1>
    </dataValidation>
    <dataValidation allowBlank="1" showInputMessage="1" showErrorMessage="1" prompt="VPN機器に接続する際の共有キー（接続パスワード）を記入してください。_x000a_※ -（ハイフン)、~（チルダ）、 （スペース）は使用できません" sqref="C38" xr:uid="{4587D9E0-A7A0-4D4F-A222-240B7062991A}"/>
    <dataValidation allowBlank="1" showInputMessage="1" showErrorMessage="1" prompt="VPN装置に設定されているグローバルIPアドレスを記入してください。" sqref="C37" xr:uid="{5EBBF63F-ED62-47C2-9BAF-F67FF1A82FE0}"/>
    <dataValidation type="custom" operator="equal" allowBlank="1" showInputMessage="1" showErrorMessage="1" error="VPN接続方式はIPSecのみとなります。" sqref="C36" xr:uid="{936972BF-5359-426D-8E11-A10C3D85CB95}">
      <formula1>"IPSec(固定)"</formula1>
    </dataValidation>
    <dataValidation allowBlank="1" showInputMessage="1" showErrorMessage="1" prompt="SKYSEA Client View Cloudで使用するポート(TCP/UDP 52300～52314)以外にマスターサーバーに対して通信するポートがある場合、ポート番号を記入してください。" sqref="C44:C45 C47" xr:uid="{768B8EAF-FE81-4A0B-AF36-678092356C75}"/>
    <dataValidation type="list" allowBlank="1" showInputMessage="1" showErrorMessage="1" prompt="Microsoft Exchange Onlineを利用する場合は「利用する」と入力してください。_x000a_Microsoft Exchange Onlineを利用する際のポートは「443」で固定になります。" sqref="C29 C32" xr:uid="{98AFE6A7-4FFB-4AC0-98EE-8F31A10B104F}">
      <formula1>"利用する,利用しない"</formula1>
    </dataValidation>
    <dataValidation allowBlank="1" showInputMessage="1" showErrorMessage="1" prompt="メール連携を行う場合、メール受信サーバーの情報をIPアドレスで記入してください。" sqref="C31" xr:uid="{89D838B5-8156-42C8-BF10-DC1818069B43}"/>
    <dataValidation allowBlank="1" showInputMessage="1" showErrorMessage="1" prompt="メール連携を行う場合、メール受信ポートを記入してください。_x000a_Microsoft Exchange Onlineを利用する際のポートは「443」で固定になります。" sqref="C30" xr:uid="{521EB2D8-1872-4B56-9AC3-25C3F7183EA6}"/>
    <dataValidation allowBlank="1" showInputMessage="1" showErrorMessage="1" prompt="アラートメールをSMTP(S)で送信する場合、メールサーバーのアドレスを指定します。_x000a_Azure上のサーバーは社内のDNSを参照しないため、メールサーバーをIPアドレスで指定してください。_x000a_https接続のみの場合は、インターネットアクセス可能なメールサーバーのグローバルIPを指定してください。" sqref="C28" xr:uid="{A63C67C7-564E-42DE-8F32-A8E35DE3C060}"/>
    <dataValidation allowBlank="1" showInputMessage="1" showErrorMessage="1" prompt="アラートメールをSMTP(S)で送信する場合、メール送信ポートを指定してください。_x000a_Microsoft Exchange Onlineを利用する際のポートは「443」で固定になります。" sqref="C27" xr:uid="{12777BE3-BC82-4DE8-8772-54BFA02A82DE}"/>
    <dataValidation type="list" allowBlank="1" showInputMessage="1" showErrorMessage="1" sqref="C18 C23:C24" xr:uid="{0CB55BAB-FE3E-495F-BF53-C12B6B13D325}">
      <formula1>"オプションあり,オプションなし"</formula1>
    </dataValidation>
    <dataValidation type="whole" errorStyle="warning" allowBlank="1" showInputMessage="1" showErrorMessage="1" error="5,000台以上の場合は、担当営業、SEまでご連絡ください。" sqref="C11" xr:uid="{431D4505-F1A8-4222-AF9E-D2D5C5A1BF1D}">
      <formula1>1</formula1>
      <formula2>5000</formula2>
    </dataValidation>
    <dataValidation type="whole" operator="greaterThanOrEqual" allowBlank="1" showErrorMessage="1" error="64512～65534の範囲で指定してください。" sqref="C44:C45 C47" xr:uid="{A6D3E8A1-F386-4EAC-801A-74B44D09F99A}">
      <formula1>1</formula1>
    </dataValidation>
    <dataValidation type="list" allowBlank="1" showInputMessage="1" showErrorMessage="1" prompt="「https ゲートウェイ経由リモート操作 オプション」を利用するには、「S1H Cloud Edition」または「S3H Cloud Edition」の契約が必要となります。" sqref="C14" xr:uid="{97AF1EFC-33F7-42B7-BE21-C7D4B98DF2CE}">
      <formula1>"オプションあり,オプションなし"</formula1>
    </dataValidation>
    <dataValidation type="list" allowBlank="1" showInputMessage="1" showErrorMessage="1" prompt="SKYSEA Client View Cloud Editionをご利用される際の環境に関して、「システム構成」を参照の上記載してください。" sqref="C12" xr:uid="{DA40B1C5-5D5E-451A-974B-9F79256DE353}">
      <formula1>INDIRECT($H$10)</formula1>
    </dataValidation>
    <dataValidation type="list" allowBlank="1" showInputMessage="1" showErrorMessage="1" prompt="「https ゲートウェイ経由リモート操作 オプション」が「オプションあり」の場合は、「リモート操作オプション」も「オプションあり」になります。" sqref="C17" xr:uid="{0CA3CAF3-7353-4681-8B7E-6BCC647AD233}">
      <formula1>INDIRECT($H$14)</formula1>
    </dataValidation>
    <dataValidation type="list" allowBlank="1" showInputMessage="1" showErrorMessage="1" sqref="C66" xr:uid="{0B37CA5A-C3E9-4100-B698-9BB7F3DB18BD}">
      <formula1>"除外登録する,除外登録しない"</formula1>
    </dataValidation>
    <dataValidation type="list" allowBlank="1" showInputMessage="1" showErrorMessage="1" prompt="MDM Services（A）のみのご契約はできません。クラウドリソース追加 オプションと併せてご契約ください。_x000a_" sqref="C20:C21" xr:uid="{0239A57E-105E-4E5F-B0E6-1D2B6F6A9EEA}">
      <formula1>"オプションあり,オプションなし"</formula1>
    </dataValidation>
    <dataValidation type="list" allowBlank="1" showInputMessage="1" showErrorMessage="1" sqref="C10" xr:uid="{B9DB525F-D3A4-4477-A862-FB40EE615885}">
      <formula1>"S1H Cloud Edition,S3H Cloud Edition,S1 Cloud Edition,S3 Cloud Edition"</formula1>
    </dataValidation>
    <dataValidation type="list" allowBlank="1" showInputMessage="1" showErrorMessage="1" prompt="ログ解析 オプションを利用される場合に指定します。_x000a_初期値は「80」となります。_x000a_「443」を選択される場合はSSLサーバー証明書をご用意ください。" sqref="C33" xr:uid="{6A180F90-1708-4D25-A3C3-7E99EC6826BD}">
      <formula1>INDIRECT($D$16)</formula1>
    </dataValidation>
    <dataValidation type="custom" allowBlank="1" showInputMessage="1" showErrorMessage="1" sqref="I57" xr:uid="{46C49848-A57F-47EF-8A36-63D9B6C2FC25}">
      <formula1>AND((LEN(I57)-LEN(SUBSTITUTE(I57,".","")))=3,ISNUMBER(SUBSTITUTE(I57,".","")+0))</formula1>
    </dataValidation>
    <dataValidation allowBlank="1" showInputMessage="1" showErrorMessage="1" prompt="プロキシサーバーを指定する場合、プロキシサーバー名もしくはIPアドレスを指定してください。本設定は「インターネット経由での通信方式設定」に反映されます。自動取得に失敗し、かつ本指定も誤っている場合や、サーバー名で指定をして名前解決ができない場合は、マスターサーバーに接続できなくなります。" sqref="C49" xr:uid="{9EE73442-B576-478D-BDF6-B27BCD85A98F}"/>
    <dataValidation allowBlank="1" showInputMessage="1" showErrorMessage="1" prompt="プロキシサーバーを指定する場合、プロキシサーバーのポート番号を指定してください。本設定は「インターネット経由での通信方式設定」に反映されます。自動取得に失敗し、かつ本指定も誤っている場合マスターサーバーに接続できなくなります。" sqref="C50" xr:uid="{B4EBA103-C617-4AA2-A4F6-5B0549485634}"/>
    <dataValidation type="custom" allowBlank="1" showInputMessage="1" showErrorMessage="1" error="IPアドレスとして有効な形式で入力してください。(xxx.xxx.xxx.xxx)" prompt="Microsoft AzureへBGP接続するBGPネイバーのIPアドレスを記入してください。" sqref="C42" xr:uid="{0CE616B1-B958-4E48-9F02-EB214FB723DE}">
      <formula1>AND((LEN(C42)-LEN(SUBSTITUTE(C42,".","")))=3,ISNUMBER(SUBSTITUTE(C42,".","")+0))</formula1>
    </dataValidation>
    <dataValidation type="list" allowBlank="1" showInputMessage="1" showErrorMessage="1" prompt="Microsoft Azure側にて検証済みのVPN装置をご利用される場合は、「確認済み(検証済み機器)」を選択してください。_x000a_検証済み製品ではないがIPSecにてMicrosoft Azureとの接続を行える製品を利用する場合は「確認済み(未検証機器)」を選択してください。_x000a_※VPN装置に対してMicrosoft Azureリソースへのアクセス権を付与する事はできません" sqref="C39" xr:uid="{DCBAB6A2-F963-4EC1-85E6-95B2966807B9}">
      <formula1>"確認済み(検証済み機器),確認済み(未検証機器)"</formula1>
    </dataValidation>
    <dataValidation type="list" allowBlank="1" showInputMessage="1" showErrorMessage="1" prompt="httpsゲートウェイサーバ経由でご利用する場合は「ホスト名」固定となります。_x000a_※端末機はHTTPSゲートウェイ経由でマスターサーバーと通信するため、端末機からマスターサーバーのホスト名が名前解決できる必要はありません。_x000a_VPNを使用される場合で、ホスト名で通信できない場合は、「IPアドレス」を記入してください。_x000a_VPN使用かつ「ホスト名」を選択された場合は名前解決ができる必要があります。" sqref="C53" xr:uid="{70F5D002-9B1E-4E13-B1BC-8B7BE5F79CFD}">
      <formula1>INDIRECT($H$12)</formula1>
    </dataValidation>
    <dataValidation type="whole" operator="greaterThanOrEqual" allowBlank="1" showInputMessage="1" showErrorMessage="1" prompt="ログ保管容量追加オプションをご購入される場合は。追加される容量(TB単位)を入力してください。_x000a_購入されない場合は、0を入力してください。" sqref="C15" xr:uid="{D3AA43C4-3DAD-4E87-8954-BC0ED500FBE6}">
      <formula1>0</formula1>
    </dataValidation>
  </dataValidations>
  <hyperlinks>
    <hyperlink ref="B40" r:id="rId1" xr:uid="{880556F8-1FA7-442B-8FBD-6360587C347A}"/>
  </hyperlinks>
  <pageMargins left="0.23622047244094491" right="0.23622047244094491" top="0.74803149606299213" bottom="0.74803149606299213" header="0.31496062992125984" footer="0.31496062992125984"/>
  <pageSetup paperSize="9" scale="68" orientation="portrait" r:id="rId2"/>
  <headerFooter>
    <oddFooter>&amp;C&amp;P/&amp;N</oddFooter>
  </headerFooter>
  <rowBreaks count="1" manualBreakCount="1">
    <brk id="46" max="5" man="1"/>
  </rowBreaks>
  <colBreaks count="1" manualBreakCount="1">
    <brk id="3" max="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xWindow="938" yWindow="384" count="3">
        <x14:dataValidation type="list" allowBlank="1" showInputMessage="1" showErrorMessage="1" prompt="特権管理機能用インストーラーでAzure上のマスターサーバと通信する際、直接マスターサーバーと通信するか、httpsゲートウェイサーバを経由したhttps通信するかを選択します。httpsゲートウェイサーバと通信する場合は「httpsゲートウェイサーバ経由」で固定になります。" xr:uid="{30004563-8FAF-45DC-A12A-D08B2ECA858F}">
          <x14:formula1>
            <xm:f>IF($C$12="HTTPS接続のみ",選択肢!$B$9,IF($C$12="VPN+https接続",選択肢!$B$8:$B$9,選択肢!$B$8))</xm:f>
          </x14:formula1>
          <xm:sqref>C54</xm:sqref>
        </x14:dataValidation>
        <x14:dataValidation type="list" allowBlank="1" showInputMessage="1" showErrorMessage="1" prompt="SKYSEA Client ViewをインストールしたPCからマスターサーバー通信する際に利用する宛先情報です。httpsゲートウェイサーバ経由でご利用する場合は「ホスト名」固定となります。「ホスト名」を選択された場合に、VPNを使用してマスターサーバーへ通信するには名前解決ができる必要があります。" xr:uid="{A02FB750-EAC6-4E60-8124-C781FD5A713F}">
          <x14:formula1>
            <xm:f>IF($C$12="HTTPS接続のみ",選択肢!$B$4,選択肢!$B$3:$B$4)</xm:f>
          </x14:formula1>
          <xm:sqref>C61</xm:sqref>
        </x14:dataValidation>
        <x14:dataValidation type="list" allowBlank="1" showInputMessage="1" showErrorMessage="1" prompt="プロキシサーバーの指定を行わなくても、自動で情報を取得し、httpsゲートウェイサーバーへの接続を行います。本指定を行うと、自動取得に失敗した場合に利用するプロキシサーバーを指定することができます。自動取得に失敗し、かつ指定したプロキシサーバーでも通信できない場合はマスターサーバーに接続できなくなります。" xr:uid="{934CFED4-A289-4FD3-A6F3-BEA92F793396}">
          <x14:formula1>
            <xm:f>選択肢!$B$33:$B$36</xm:f>
          </x14:formula1>
          <xm:sqref>C48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12FB4-D99A-4673-80EC-29E09EAF08F6}">
  <dimension ref="B1:M76"/>
  <sheetViews>
    <sheetView showGridLines="0" view="pageBreakPreview" zoomScaleNormal="100" zoomScaleSheetLayoutView="100" workbookViewId="0">
      <selection activeCell="B1" sqref="B1:C1"/>
    </sheetView>
  </sheetViews>
  <sheetFormatPr defaultColWidth="8.8984375" defaultRowHeight="18" x14ac:dyDescent="0.45"/>
  <cols>
    <col min="1" max="1" width="3.5" style="2" customWidth="1"/>
    <col min="2" max="2" width="70.3984375" style="11" customWidth="1"/>
    <col min="3" max="3" width="37.3984375" style="2" customWidth="1"/>
    <col min="4" max="4" width="9.69921875" hidden="1" customWidth="1"/>
    <col min="5" max="5" width="11.3984375" hidden="1" customWidth="1"/>
    <col min="6" max="6" width="10.19921875" hidden="1" customWidth="1"/>
    <col min="7" max="7" width="7.19921875" style="2" hidden="1" customWidth="1"/>
    <col min="8" max="8" width="16.59765625" style="2" hidden="1" customWidth="1"/>
    <col min="9" max="9" width="13.09765625" style="2" customWidth="1"/>
    <col min="10" max="10" width="17.09765625" style="2" bestFit="1" customWidth="1"/>
    <col min="11" max="11" width="15.5" style="2" bestFit="1" customWidth="1"/>
    <col min="12" max="12" width="17.09765625" style="2" bestFit="1" customWidth="1"/>
    <col min="13" max="13" width="15.5" style="2" bestFit="1" customWidth="1"/>
    <col min="14" max="16384" width="8.8984375" style="2"/>
  </cols>
  <sheetData>
    <row r="1" spans="2:13" ht="28.8" x14ac:dyDescent="0.45">
      <c r="B1" s="52" t="s">
        <v>52</v>
      </c>
      <c r="C1" s="52"/>
    </row>
    <row r="2" spans="2:13" x14ac:dyDescent="0.45">
      <c r="B2" s="3" t="s">
        <v>15</v>
      </c>
      <c r="C2" s="23"/>
    </row>
    <row r="3" spans="2:13" ht="5.4" customHeight="1" x14ac:dyDescent="0.45">
      <c r="B3" s="3"/>
    </row>
    <row r="4" spans="2:13" x14ac:dyDescent="0.45">
      <c r="B4" s="3" t="s">
        <v>16</v>
      </c>
      <c r="C4" s="24"/>
    </row>
    <row r="5" spans="2:13" ht="5.4" customHeight="1" x14ac:dyDescent="0.45">
      <c r="B5" s="3"/>
    </row>
    <row r="6" spans="2:13" ht="18.600000000000001" thickBot="1" x14ac:dyDescent="0.5">
      <c r="B6" s="4" t="s">
        <v>29</v>
      </c>
      <c r="C6" s="5"/>
    </row>
    <row r="7" spans="2:13" ht="18.600000000000001" thickTop="1" x14ac:dyDescent="0.45">
      <c r="B7" s="6" t="s">
        <v>10</v>
      </c>
      <c r="C7" s="18"/>
    </row>
    <row r="8" spans="2:13" x14ac:dyDescent="0.45">
      <c r="C8" s="25"/>
    </row>
    <row r="9" spans="2:13" ht="18.600000000000001" thickBot="1" x14ac:dyDescent="0.5">
      <c r="B9" s="4" t="s">
        <v>36</v>
      </c>
      <c r="C9" s="5"/>
      <c r="D9" s="17" t="s">
        <v>37</v>
      </c>
      <c r="E9" s="17" t="s">
        <v>72</v>
      </c>
      <c r="F9" s="17" t="s">
        <v>73</v>
      </c>
    </row>
    <row r="10" spans="2:13" ht="18.600000000000001" thickTop="1" x14ac:dyDescent="0.45">
      <c r="B10" s="7" t="s">
        <v>9</v>
      </c>
      <c r="C10" s="20" t="s">
        <v>84</v>
      </c>
      <c r="F10" t="str">
        <f>IF($C$10="","NG","OK")</f>
        <v>OK</v>
      </c>
      <c r="G10" s="2" t="b">
        <f>IF(F10="OK",TRUE,FALSE)</f>
        <v>1</v>
      </c>
      <c r="H10" s="2" t="str">
        <f>SUBSTITUTE(SUBSTITUTE(C10, "　", ""), " ", "")</f>
        <v>S1HCloudEdition</v>
      </c>
      <c r="I10" s="12"/>
      <c r="J10" s="12"/>
      <c r="K10" s="12"/>
      <c r="L10" s="12"/>
      <c r="M10" s="12"/>
    </row>
    <row r="11" spans="2:13" x14ac:dyDescent="0.45">
      <c r="B11" s="8" t="s">
        <v>8</v>
      </c>
      <c r="C11" s="20">
        <v>1500</v>
      </c>
      <c r="G11" s="2" t="b">
        <f>IF(C11&lt;&gt;"",TRUE,FALSE)</f>
        <v>1</v>
      </c>
    </row>
    <row r="12" spans="2:13" x14ac:dyDescent="0.45">
      <c r="B12" s="8" t="s">
        <v>21</v>
      </c>
      <c r="C12" s="21" t="s">
        <v>76</v>
      </c>
      <c r="D12" s="21"/>
      <c r="E12" s="26"/>
      <c r="F12" s="25" t="str">
        <f>IF($C$12="","NG1",
IF(AND(OR($C$10="S1H Cloud Edition",$C$10="S3H Cloud Edition"),OR($C$12="https接続のみ",$C$12="VPN+https接続")),"OK",
IF(AND(OR($C$10="S1 Cloud Edition",$C$10="S3 Cloud Edition"),$C$12="VPN接続のみ"),"OK",
"NG3")
))</f>
        <v>OK</v>
      </c>
      <c r="G12" s="2" t="b">
        <f>IF(F12="OK",TRUE,FALSE)</f>
        <v>1</v>
      </c>
      <c r="H12" s="2" t="str">
        <f>IF(OR(C12="VPN接続のみ",C12="VPN+https接続"),"両方","ホスト名のみ")</f>
        <v>ホスト名のみ</v>
      </c>
    </row>
    <row r="13" spans="2:13" x14ac:dyDescent="0.45">
      <c r="B13" s="8" t="s">
        <v>42</v>
      </c>
      <c r="C13" s="9" t="str">
        <f>IF($C$12="","",IF($C$12="VPN接続のみ","オプションなし",IF($C$12="https接続のみ","オプションなし","オプションなし")))</f>
        <v>オプションなし</v>
      </c>
      <c r="D13" t="str">
        <f>IF(AND($C$12="VPN接続のみ",C13="オプションあり"),"NG",
IF(AND($C$12="VPN接続のみ",C13="オプションなし"),"OK",
IF(AND($C$12="VPN接続のみ",C13=""),"OK",
"OK")))</f>
        <v>OK</v>
      </c>
      <c r="E13" t="str">
        <f>IF(AND($C$12="VPN+HTTPS接続",C13="オプションあり"),"OK",IF(AND($C$12="VPN+HTTPS接続",C13="オプションなし"),"NG",IF(AND($C$12="VPN+HTTPS接続",C13=""),"NG","OK")))</f>
        <v>OK</v>
      </c>
      <c r="F13" t="str">
        <f>IF(AND($C$12="HTTPS接続のみ",C13="オプションあり"),"OK",IF(AND($C$12="HTTPS接続のみ",C13="オプションなし"),"NG",IF(AND($C$12="HTTPS接続のみ",C13=""),"NG","OK")))</f>
        <v>NG</v>
      </c>
      <c r="G13" s="2" t="b">
        <f>AND(D13=E13,D13=F13)</f>
        <v>0</v>
      </c>
    </row>
    <row r="14" spans="2:13" x14ac:dyDescent="0.45">
      <c r="B14" s="8" t="s">
        <v>43</v>
      </c>
      <c r="C14" s="21" t="s">
        <v>28</v>
      </c>
      <c r="D14" t="str">
        <f>IF(AND($C$12="VPN接続のみ",C13="オプションあり",C14=""),"OK",
IF(AND($C$12="VPN接続のみ",C13="オプションなし"),"OK",
IF(AND($C$12="VPN接続のみ",$C$13="",C14=""),"OK",
"OK")))</f>
        <v>OK</v>
      </c>
      <c r="E14" t="str">
        <f>IF(AND($C$12="VPN+HTTPS接続",C13="オプションあり",C14="オプションあり"),"OK",IF($C$14="","OK",
IF(AND($C$12="VPN+HTTPS接続",C13="オプションあり",C14=""),"NG",
IF(AND($C$12="VPN+HTTPS接続",C13="オプションなし",C14="オプションあり"),"NG",
IF(AND($C$12="VPN+HTTPS接続",$C$13="",C14=""),"OK",
IF(OR($C$13="",C14=""),"OK",
"OK"))))))</f>
        <v>OK</v>
      </c>
      <c r="F14" t="str">
        <f>IF(AND($C$12="https接続のみ",$C$13="オプションあり",$C$14="オプションあり"),"OK",IF($C$14="","OK",
IF(AND($C$12="HTTPS接続のみ",C13="オプションなし",C14="オプションあり"),"OK",
IF(AND($C$12="HTTPS接続のみ",C13="オプションあり",C14=""),"NG",
IF(AND($C$12="HTTPS接続のみ",$C$13="",C14=""),"OK",
IF(OR($C$13="",C14=""),"OK",
"OK"))))))</f>
        <v>OK</v>
      </c>
      <c r="G14" s="2" t="b">
        <f>AND(D14=E14,D14=F14)</f>
        <v>1</v>
      </c>
      <c r="H14" s="2" t="str">
        <f>IF(C14="オプションあり","オプションあり","オプションなし")</f>
        <v>オプションあり</v>
      </c>
    </row>
    <row r="15" spans="2:13" x14ac:dyDescent="0.45">
      <c r="B15" s="8" t="s">
        <v>44</v>
      </c>
      <c r="C15" s="47">
        <v>1</v>
      </c>
      <c r="D15" t="str">
        <f>IF(C15&lt;&gt;"","OK","NG")</f>
        <v>OK</v>
      </c>
    </row>
    <row r="16" spans="2:13" x14ac:dyDescent="0.45">
      <c r="B16" s="8" t="s">
        <v>45</v>
      </c>
      <c r="C16" s="21"/>
      <c r="D16" t="str">
        <f>IF($C$16=オプションあり,"ログ解析","")</f>
        <v/>
      </c>
      <c r="F16" t="str">
        <f>IF(AND($C$12="HTTPS接続のみ",C16="オプションあり"),"NG",
"OK")</f>
        <v>OK</v>
      </c>
      <c r="G16" s="2" t="b">
        <f>AND(F16="OK")</f>
        <v>1</v>
      </c>
    </row>
    <row r="17" spans="2:11" x14ac:dyDescent="0.45">
      <c r="B17" s="8" t="s">
        <v>46</v>
      </c>
      <c r="C17" s="21" t="s">
        <v>28</v>
      </c>
      <c r="D17" t="str">
        <f>IF(AND($C$14="",$C$17="オプションあり"),"OK",
IF(AND($C$14="",$C$17=""),"OK",
IF(AND($C$14="オプションあり",$C$17="オプションあり"),"OK",
IF(AND($C$14="オプションあり",$C$17="オプションなし"),"NG",
IF(AND($C$14="オプションなし",$C$17="オプションあり"),"OK",
IF(AND($C$14="オプションなし",$C$17="オプションなし"),"OK",
IF(AND($C$14="オプションあり",$C$17=""),"NG",
IF(AND($C$14="オプションなし",$C$17=""),"OK",
IF(AND($C$14="",$C$17="オプションなし",C12="VPN接続のみ"),"OK",
"NG")))))))))</f>
        <v>OK</v>
      </c>
      <c r="G17" s="2" t="b">
        <f>AND(D17="OK")</f>
        <v>1</v>
      </c>
    </row>
    <row r="18" spans="2:11" x14ac:dyDescent="0.45">
      <c r="B18" s="8" t="s">
        <v>47</v>
      </c>
      <c r="C18" s="21" t="s">
        <v>61</v>
      </c>
    </row>
    <row r="19" spans="2:11" x14ac:dyDescent="0.45">
      <c r="B19" s="8" t="s">
        <v>49</v>
      </c>
      <c r="C19" s="21"/>
      <c r="F19" t="str">
        <f>IF(AND($C$12="HTTPS接続のみ",C19="オプションあり"),"NG","OK")</f>
        <v>OK</v>
      </c>
      <c r="G19" s="2" t="b">
        <f>AND(F19="OK")</f>
        <v>1</v>
      </c>
    </row>
    <row r="20" spans="2:11" x14ac:dyDescent="0.45">
      <c r="B20" s="8" t="s">
        <v>7</v>
      </c>
      <c r="C20" s="20" t="s">
        <v>28</v>
      </c>
    </row>
    <row r="21" spans="2:11" x14ac:dyDescent="0.45">
      <c r="B21" s="8" t="s">
        <v>74</v>
      </c>
      <c r="C21" s="20" t="s">
        <v>28</v>
      </c>
    </row>
    <row r="22" spans="2:11" x14ac:dyDescent="0.45">
      <c r="B22" s="8" t="s">
        <v>48</v>
      </c>
      <c r="C22" s="9" t="str">
        <f>IF(AND($C$20="",$C$21=""),"",
IF(AND($C$20="オプションあり",OR($C$21="オプションあり",$C$21="オプションなし",$C$21="")),"オプションあり",
IF(AND($C$20="オプションなし",OR($C$21="オプションあり")),"オプションあり",
IF(AND($C$21="オプションあり",OR($C$20="オプションあり",$C$20="オプションなし",$C$20="")),"オプションあり",
IF(AND($C$21="オプションなし",OR($C$20="オプションあり")),"オプションあり",
IF(AND($C$20="オプションなし",$C$21="オプションなし"),"オプションなし",
IF(AND(OR($C$20="オプションなし",$C$21="オプションなし"),OR($C$20="",$C$21="")),"オプションなし",
)))))))</f>
        <v>オプションあり</v>
      </c>
      <c r="F22" s="2" t="str">
        <f>IF($C$22="オプションあり",IF(OR($C$20="オプションあり",$C$21="オプションあり"),"OK","NG"),"OK")</f>
        <v>OK</v>
      </c>
      <c r="G22" s="2" t="b">
        <f>IF(F22="OK",TRUE,FALSE)</f>
        <v>1</v>
      </c>
    </row>
    <row r="23" spans="2:11" x14ac:dyDescent="0.45">
      <c r="B23" s="8" t="s">
        <v>75</v>
      </c>
      <c r="C23" s="21" t="s">
        <v>61</v>
      </c>
    </row>
    <row r="24" spans="2:11" x14ac:dyDescent="0.45">
      <c r="B24" s="10" t="s">
        <v>6</v>
      </c>
      <c r="C24" s="22" t="s">
        <v>61</v>
      </c>
    </row>
    <row r="25" spans="2:11" x14ac:dyDescent="0.45">
      <c r="K25" s="16"/>
    </row>
    <row r="26" spans="2:11" ht="18.600000000000001" thickBot="1" x14ac:dyDescent="0.5">
      <c r="B26" s="53" t="s">
        <v>34</v>
      </c>
      <c r="C26" s="54"/>
    </row>
    <row r="27" spans="2:11" ht="18.600000000000001" thickTop="1" x14ac:dyDescent="0.45">
      <c r="B27" s="7" t="s">
        <v>18</v>
      </c>
      <c r="C27" s="19">
        <v>443</v>
      </c>
      <c r="D27" t="str">
        <f>IF(AND(C29="利用する",C27&lt;&gt;443),"NG","OK")</f>
        <v>OK</v>
      </c>
    </row>
    <row r="28" spans="2:11" x14ac:dyDescent="0.45">
      <c r="B28" s="8" t="s">
        <v>5</v>
      </c>
      <c r="C28" s="21" t="s">
        <v>104</v>
      </c>
    </row>
    <row r="29" spans="2:11" x14ac:dyDescent="0.45">
      <c r="B29" s="8" t="s">
        <v>95</v>
      </c>
      <c r="C29" s="21" t="s">
        <v>51</v>
      </c>
    </row>
    <row r="30" spans="2:11" x14ac:dyDescent="0.45">
      <c r="B30" s="8" t="s">
        <v>4</v>
      </c>
      <c r="C30" s="21">
        <v>443</v>
      </c>
      <c r="D30" t="str">
        <f>IF(AND(C32="利用する",C30&lt;&gt;443),"NG","OK")</f>
        <v>OK</v>
      </c>
    </row>
    <row r="31" spans="2:11" x14ac:dyDescent="0.45">
      <c r="B31" s="8" t="s">
        <v>3</v>
      </c>
      <c r="C31" s="21" t="s">
        <v>105</v>
      </c>
    </row>
    <row r="32" spans="2:11" x14ac:dyDescent="0.45">
      <c r="B32" s="8" t="s">
        <v>95</v>
      </c>
      <c r="C32" s="21" t="s">
        <v>51</v>
      </c>
    </row>
    <row r="33" spans="2:7" x14ac:dyDescent="0.45">
      <c r="B33" s="10" t="s">
        <v>85</v>
      </c>
      <c r="C33" s="36"/>
      <c r="D33" t="str">
        <f>IF(AND($C$16="オプションあり",$C$33=""),"NG","OK")</f>
        <v>OK</v>
      </c>
      <c r="G33" s="2" t="b">
        <f>AND($D$33="OK")</f>
        <v>1</v>
      </c>
    </row>
    <row r="35" spans="2:7" ht="18.600000000000001" thickBot="1" x14ac:dyDescent="0.5">
      <c r="B35" s="27" t="s">
        <v>65</v>
      </c>
      <c r="C35" s="5"/>
    </row>
    <row r="36" spans="2:7" ht="18.600000000000001" thickTop="1" x14ac:dyDescent="0.45">
      <c r="B36" s="7" t="s">
        <v>2</v>
      </c>
      <c r="C36" s="9" t="s">
        <v>12</v>
      </c>
    </row>
    <row r="37" spans="2:7" x14ac:dyDescent="0.45">
      <c r="B37" s="8" t="s">
        <v>96</v>
      </c>
      <c r="C37" s="21"/>
      <c r="D37" t="str">
        <f>IF(AND($C$12="VPN接続のみ",C37=""),"NG","OK")</f>
        <v>OK</v>
      </c>
      <c r="E37" t="str">
        <f>IF(AND($C$12="VPN+HTTPS接続",C37=""),"NG","OK")</f>
        <v>OK</v>
      </c>
      <c r="F37" t="str">
        <f t="shared" ref="F37:F41" si="0">IF(AND($C$12="HTTPS接続のみ",C37&lt;&gt;0),"NG","OK")</f>
        <v>OK</v>
      </c>
      <c r="G37" s="2" t="b">
        <f t="shared" ref="G37:G45" si="1">AND(D37=E37,D37=F37)</f>
        <v>1</v>
      </c>
    </row>
    <row r="38" spans="2:7" x14ac:dyDescent="0.45">
      <c r="B38" s="8" t="s">
        <v>97</v>
      </c>
      <c r="C38" s="46"/>
      <c r="D38" t="str">
        <f>IF(AND($C$12="VPN接続のみ",C38=""),"NG","OK")</f>
        <v>OK</v>
      </c>
      <c r="E38" t="str">
        <f>IF(AND($C$12="VPN+HTTPS接続",C38=""),"NG","OK")</f>
        <v>OK</v>
      </c>
      <c r="F38" t="str">
        <f t="shared" si="0"/>
        <v>OK</v>
      </c>
      <c r="G38" s="2" t="b">
        <f t="shared" si="1"/>
        <v>1</v>
      </c>
    </row>
    <row r="39" spans="2:7" ht="70.2" x14ac:dyDescent="0.45">
      <c r="B39" s="15" t="s">
        <v>100</v>
      </c>
      <c r="C39" s="41"/>
      <c r="D39" t="str">
        <f>IF(AND($C$12="VPN接続のみ",OR(C39="",C39="未確認")),"NG","OK")</f>
        <v>OK</v>
      </c>
      <c r="E39" t="str">
        <f>IF(AND($C$12="VPN+HTTPS接続",OR(C39="",C39="未確認")),"NG","OK")</f>
        <v>OK</v>
      </c>
      <c r="F39" t="str">
        <f>IF(AND($C$12="HTTPS接続のみ",C39&lt;&gt;""),"NG","OK")</f>
        <v>OK</v>
      </c>
      <c r="G39" s="2" t="b">
        <f t="shared" si="1"/>
        <v>1</v>
      </c>
    </row>
    <row r="40" spans="2:7" x14ac:dyDescent="0.45">
      <c r="B40" s="42" t="s">
        <v>99</v>
      </c>
      <c r="C40" s="44"/>
    </row>
    <row r="41" spans="2:7" x14ac:dyDescent="0.45">
      <c r="B41" s="8" t="s">
        <v>1</v>
      </c>
      <c r="C41" s="21"/>
      <c r="D41" t="str">
        <f>IF(AND($C$12="VPN接続のみ",C41=""),"NG","OK")</f>
        <v>OK</v>
      </c>
      <c r="E41" t="str">
        <f>IF(AND($C$12="VPN+HTTPS接続",C41=""),"NG","OK")</f>
        <v>OK</v>
      </c>
      <c r="F41" t="str">
        <f t="shared" si="0"/>
        <v>OK</v>
      </c>
      <c r="G41" s="2" t="b">
        <f t="shared" si="1"/>
        <v>1</v>
      </c>
    </row>
    <row r="42" spans="2:7" x14ac:dyDescent="0.45">
      <c r="B42" s="43" t="s">
        <v>108</v>
      </c>
      <c r="C42" s="38"/>
      <c r="D42" t="str">
        <f>IF(AND($C$12="VPN接続のみ",$C$41="BGPを利用する",C42=""),"NG","OK")</f>
        <v>OK</v>
      </c>
      <c r="E42" t="str">
        <f>IF(AND($C$12="VPN+HTTPS接続",$C$41="BGPを利用する",C42=""),"NG","OK")</f>
        <v>OK</v>
      </c>
      <c r="F42" t="str">
        <f>IF(AND($C$12="HTTPS接続のみ",C42&lt;&gt;0),"NG","OK")</f>
        <v>OK</v>
      </c>
      <c r="G42" s="2" t="b">
        <f t="shared" si="1"/>
        <v>1</v>
      </c>
    </row>
    <row r="43" spans="2:7" x14ac:dyDescent="0.45">
      <c r="B43" s="15" t="s">
        <v>92</v>
      </c>
      <c r="C43" s="21"/>
      <c r="D43" t="str">
        <f>IF(AND($C$12="VPN接続のみ",$C$41="BGPを利用する",C43=""),"NG","OK")</f>
        <v>OK</v>
      </c>
      <c r="E43" t="str">
        <f>IF(AND($C$12="VPN+HTTPS接続",$C$41="BGPを利用する",C43=""),"NG","OK")</f>
        <v>OK</v>
      </c>
      <c r="F43" t="str">
        <f>IF(AND($C$12="HTTPS接続のみ",C43&lt;&gt;0),"NG","OK")</f>
        <v>OK</v>
      </c>
      <c r="G43" s="2" t="b">
        <f t="shared" si="1"/>
        <v>1</v>
      </c>
    </row>
    <row r="44" spans="2:7" ht="36" x14ac:dyDescent="0.45">
      <c r="B44" s="8" t="s">
        <v>66</v>
      </c>
      <c r="C44" s="21"/>
      <c r="D44" t="str">
        <f>IF(AND($C$12="VPN接続のみ",C44=""),"NG","OK")</f>
        <v>OK</v>
      </c>
      <c r="E44" t="str">
        <f>IF(AND($C$12="VPN+HTTPS接続",C44=""),"NG","OK")</f>
        <v>OK</v>
      </c>
      <c r="F44" t="str">
        <f>IF(AND($C$12="HTTPS接続のみ",C44&lt;&gt;0),"NG","OK")</f>
        <v>OK</v>
      </c>
      <c r="G44" s="2" t="b">
        <f t="shared" si="1"/>
        <v>1</v>
      </c>
    </row>
    <row r="45" spans="2:7" ht="36" x14ac:dyDescent="0.45">
      <c r="B45" s="30" t="s">
        <v>67</v>
      </c>
      <c r="C45" s="18"/>
      <c r="D45" t="str">
        <f>IF(AND($C$12="VPN接続のみ",C45=""),"NG","OK")</f>
        <v>OK</v>
      </c>
      <c r="E45" t="str">
        <f>IF(AND($C$12="VPN+HTTPS接続",C45=""),"NG","OK")</f>
        <v>OK</v>
      </c>
      <c r="F45" t="str">
        <f>IF(AND($C$12="HTTPS接続のみ",C45&lt;&gt;0),"NG","OK")</f>
        <v>OK</v>
      </c>
      <c r="G45" s="2" t="b">
        <f t="shared" si="1"/>
        <v>1</v>
      </c>
    </row>
    <row r="47" spans="2:7" ht="18.600000000000001" thickBot="1" x14ac:dyDescent="0.5">
      <c r="B47" s="27" t="s">
        <v>90</v>
      </c>
      <c r="C47" s="5"/>
    </row>
    <row r="48" spans="2:7" ht="18.600000000000001" thickTop="1" x14ac:dyDescent="0.45">
      <c r="B48" s="7" t="s">
        <v>103</v>
      </c>
      <c r="C48" s="45" t="s">
        <v>109</v>
      </c>
      <c r="D48" t="str">
        <f>IF($C$12="VPN接続のみ","OK","OK")</f>
        <v>OK</v>
      </c>
      <c r="E48" t="str">
        <f>IF(AND($C$12="VPN+https接続",C48=""),"NG","OK")</f>
        <v>OK</v>
      </c>
      <c r="F48" t="str">
        <f>IF(AND($C$12="https接続のみ",C48=""),"NG","OK")</f>
        <v>OK</v>
      </c>
      <c r="G48" s="2" t="b">
        <f>AND(D48=E48,D48=F48)</f>
        <v>1</v>
      </c>
    </row>
    <row r="49" spans="2:7" x14ac:dyDescent="0.45">
      <c r="B49" s="39" t="s">
        <v>93</v>
      </c>
      <c r="C49" s="21" t="s">
        <v>106</v>
      </c>
      <c r="D49" t="str">
        <f>IF($C$12="VPN接続のみ","OK","OK")</f>
        <v>OK</v>
      </c>
      <c r="E49" t="str">
        <f>IF(AND($C$12="VPN+https接続",AND($C48="プロキシサーバーを指定する",$C49="")),"NG","OK")</f>
        <v>OK</v>
      </c>
      <c r="F49" t="str">
        <f>IF(AND($C$12="https接続のみ",AND($C48="プロキシサーバーを指定する",$C49="")),"NG","OK")</f>
        <v>OK</v>
      </c>
      <c r="G49" s="2" t="b">
        <f>AND(D49=E49,D49=F49)</f>
        <v>1</v>
      </c>
    </row>
    <row r="50" spans="2:7" x14ac:dyDescent="0.45">
      <c r="B50" s="40" t="s">
        <v>94</v>
      </c>
      <c r="C50" s="22">
        <v>80</v>
      </c>
      <c r="D50" t="str">
        <f>IF($C$12="VPN接続のみ","OK","OK")</f>
        <v>OK</v>
      </c>
      <c r="E50" t="str">
        <f>IF(AND($C$12="VPN+https接続",AND($C48="プロキシサーバーを指定する",$C50="")),"NG","OK")</f>
        <v>OK</v>
      </c>
      <c r="F50" t="str">
        <f>IF(AND($C$12="https接続のみ",AND($C48="プロキシサーバーを指定する",$C50="")),"NG","OK")</f>
        <v>OK</v>
      </c>
      <c r="G50" s="2" t="b">
        <f>AND(D50=E50,D50=F50)</f>
        <v>1</v>
      </c>
    </row>
    <row r="52" spans="2:7" ht="18.600000000000001" thickBot="1" x14ac:dyDescent="0.5">
      <c r="B52" s="27" t="s">
        <v>68</v>
      </c>
      <c r="C52" s="5"/>
    </row>
    <row r="53" spans="2:7" ht="18.600000000000001" thickTop="1" x14ac:dyDescent="0.45">
      <c r="B53" s="8" t="s">
        <v>17</v>
      </c>
      <c r="C53" s="21" t="s">
        <v>101</v>
      </c>
      <c r="D53" t="str">
        <f>IF(AND(OR($C$12="VPN接続のみ",$C$12="VPN+https接続"),C53=""),"NG","OK")</f>
        <v>OK</v>
      </c>
      <c r="E53" t="str">
        <f>IF(AND($C$12="https接続のみ",C53&lt;&gt;"ホスト名"),"NG","OK")</f>
        <v>OK</v>
      </c>
      <c r="F53" t="str">
        <f>IF(AND($C$54="httpsゲートウェイサーバ経由(https)",C53&lt;&gt;"ホスト名"),"NG","OK")</f>
        <v>OK</v>
      </c>
      <c r="G53" s="2" t="b">
        <f>AND(D53=E53,D53=F53)</f>
        <v>1</v>
      </c>
    </row>
    <row r="54" spans="2:7" x14ac:dyDescent="0.45">
      <c r="B54" s="14" t="s">
        <v>98</v>
      </c>
      <c r="C54" s="22" t="s">
        <v>63</v>
      </c>
      <c r="D54" t="str">
        <f>IF(AND($C$12="VPN接続のみ",C54&lt;&gt;"直接通信(TCP/IP)"),"NG","OK")</f>
        <v>OK</v>
      </c>
      <c r="E54" t="str">
        <f>IF(AND($C$12="VPN+https接続",C54=""),"NG","OK")</f>
        <v>OK</v>
      </c>
      <c r="F54" t="str">
        <f>IF(AND($C$12="HTTPS接続のみ",C54&lt;&gt;"HTTPSゲートウェイサーバ経由(HTTPS)"),"NG","OK")</f>
        <v>OK</v>
      </c>
      <c r="G54" s="2" t="b">
        <f>AND(D54=F54,D54=E54)</f>
        <v>1</v>
      </c>
    </row>
    <row r="55" spans="2:7" x14ac:dyDescent="0.45">
      <c r="B55" s="59" t="s">
        <v>107</v>
      </c>
      <c r="C55" s="59"/>
    </row>
    <row r="56" spans="2:7" ht="18.600000000000001" thickBot="1" x14ac:dyDescent="0.5">
      <c r="B56" s="4" t="s">
        <v>50</v>
      </c>
      <c r="C56" s="5"/>
    </row>
    <row r="57" spans="2:7" ht="31.8" thickTop="1" x14ac:dyDescent="0.45">
      <c r="B57" s="7" t="s">
        <v>71</v>
      </c>
      <c r="C57" s="38" t="s">
        <v>91</v>
      </c>
      <c r="E57" t="e">
        <f>IF(AND($C$57&lt;&gt;"",$C$58&lt;&gt;""),IF(選択肢!$D$6=$C$57,"OK","NG"),"OK")</f>
        <v>#VALUE!</v>
      </c>
      <c r="F57" t="str">
        <f>IF($C$12="","OK",IF($C$57&lt;&gt;"","OK"))</f>
        <v>OK</v>
      </c>
      <c r="G57" s="2" t="e">
        <f>AND(F57="OK",E57="OK")</f>
        <v>#VALUE!</v>
      </c>
    </row>
    <row r="58" spans="2:7" x14ac:dyDescent="0.45">
      <c r="B58" s="8" t="s">
        <v>13</v>
      </c>
      <c r="C58" s="9" t="str">
        <f>IF(OR(C13="オプションあり",C10="S1H Cloud Edition",C10="S3H Cloud Edition"),"23bit",IF(C13="オプションなし","24bit",IF(AND(C13="",C12="VPN接続のみ"),"24bit","")))</f>
        <v>23bit</v>
      </c>
      <c r="F58" t="str">
        <f>IF($C$12="","OK",IF(OR($C$58="23bit",$C$58="24bit"),"OK","NG"))</f>
        <v>OK</v>
      </c>
      <c r="G58" s="2" t="b">
        <f>AND(F58="OK")</f>
        <v>1</v>
      </c>
    </row>
    <row r="59" spans="2:7" x14ac:dyDescent="0.45">
      <c r="B59" s="8" t="str">
        <f>IF(C11&gt;1000,"マスターサーバーのホスト名","マスターサーバー兼データーサーバーのホスト名")</f>
        <v>マスターサーバーのホスト名</v>
      </c>
      <c r="C59" s="21" t="s">
        <v>53</v>
      </c>
      <c r="F59" t="str">
        <f>IF($C$12="","OK",IF($C$59&lt;&gt;0,"OK","NG"))</f>
        <v>OK</v>
      </c>
      <c r="G59" s="2" t="b">
        <f>AND(F59="OK")</f>
        <v>1</v>
      </c>
    </row>
    <row r="60" spans="2:7" x14ac:dyDescent="0.45">
      <c r="B60" s="8" t="s">
        <v>22</v>
      </c>
      <c r="C60" s="21" t="s">
        <v>54</v>
      </c>
      <c r="E60" t="str">
        <f>IF(AND(C11&gt;=1000,C60=""),"NG","OK")</f>
        <v>OK</v>
      </c>
      <c r="G60" s="2" t="b">
        <f>AND(E60="OK")</f>
        <v>1</v>
      </c>
    </row>
    <row r="61" spans="2:7" x14ac:dyDescent="0.45">
      <c r="B61" s="8" t="s">
        <v>59</v>
      </c>
      <c r="C61" s="21"/>
      <c r="F61" t="str">
        <f>IF(AND($C$12="HTTPS接続のみ",C61="ホスト名"),"OK",
IF(AND($C$12="HTTPS接続のみ",C61&lt;&gt;0),"NG",
"OK"))</f>
        <v>OK</v>
      </c>
      <c r="G61" s="2" t="b">
        <f>AND(F61="OK")</f>
        <v>1</v>
      </c>
    </row>
    <row r="62" spans="2:7" ht="33" x14ac:dyDescent="0.45">
      <c r="B62" s="8" t="s">
        <v>60</v>
      </c>
      <c r="C62" s="21"/>
      <c r="F62" t="str">
        <f>IF(AND($C$12="HTTPS接続のみ",C62&lt;&gt;0),"NG","OK")</f>
        <v>OK</v>
      </c>
      <c r="G62" s="2" t="b">
        <f>AND(F62="OK")</f>
        <v>1</v>
      </c>
    </row>
    <row r="63" spans="2:7" x14ac:dyDescent="0.45">
      <c r="B63" s="10" t="s">
        <v>14</v>
      </c>
      <c r="C63" s="22" t="s">
        <v>38</v>
      </c>
    </row>
    <row r="64" spans="2:7" x14ac:dyDescent="0.45">
      <c r="B64" s="37" t="s">
        <v>87</v>
      </c>
      <c r="G64" s="2" t="b">
        <f>AND($C$12=$E$9,$C$61="IPアドレス")</f>
        <v>0</v>
      </c>
    </row>
    <row r="65" spans="2:8" ht="18.600000000000001" thickBot="1" x14ac:dyDescent="0.5">
      <c r="B65" s="4" t="s">
        <v>33</v>
      </c>
      <c r="C65" s="5"/>
    </row>
    <row r="66" spans="2:8" ht="36.6" thickTop="1" x14ac:dyDescent="0.45">
      <c r="B66" s="10" t="s">
        <v>62</v>
      </c>
      <c r="C66" s="22" t="s">
        <v>32</v>
      </c>
    </row>
    <row r="68" spans="2:8" ht="18.600000000000001" thickBot="1" x14ac:dyDescent="0.5">
      <c r="B68" s="4" t="s">
        <v>0</v>
      </c>
      <c r="C68" s="5"/>
    </row>
    <row r="69" spans="2:8" ht="18.600000000000001" thickTop="1" x14ac:dyDescent="0.45">
      <c r="B69" s="55"/>
      <c r="C69" s="56"/>
    </row>
    <row r="70" spans="2:8" x14ac:dyDescent="0.45">
      <c r="B70" s="55"/>
      <c r="C70" s="56"/>
    </row>
    <row r="71" spans="2:8" x14ac:dyDescent="0.45">
      <c r="B71" s="55"/>
      <c r="C71" s="56"/>
    </row>
    <row r="72" spans="2:8" x14ac:dyDescent="0.45">
      <c r="B72" s="55"/>
      <c r="C72" s="56"/>
    </row>
    <row r="73" spans="2:8" x14ac:dyDescent="0.45">
      <c r="B73" s="55"/>
      <c r="C73" s="56"/>
    </row>
    <row r="74" spans="2:8" x14ac:dyDescent="0.45">
      <c r="B74" s="55"/>
      <c r="C74" s="56"/>
    </row>
    <row r="75" spans="2:8" x14ac:dyDescent="0.45">
      <c r="B75" s="57"/>
      <c r="C75" s="58"/>
    </row>
    <row r="76" spans="2:8" x14ac:dyDescent="0.45">
      <c r="C76" s="13">
        <f>ヒアリングシート!C76</f>
        <v>45288</v>
      </c>
      <c r="G76" s="13"/>
      <c r="H76" s="13"/>
    </row>
  </sheetData>
  <sheetProtection algorithmName="SHA-512" hashValue="9IX7OgR8c3JfR5lvT/NRqMZCW63oKnfB5MV6uOife4Ys2IoTzEv8FQrNjmGvWYc/ChFpoKBxkNEKUguQpiZ7uA==" saltValue="Gj8VibI7zPqbRhHQDOrCdA==" spinCount="100000" sheet="1" formatRows="0"/>
  <mergeCells count="4">
    <mergeCell ref="B1:C1"/>
    <mergeCell ref="B26:C26"/>
    <mergeCell ref="B69:C75"/>
    <mergeCell ref="B55:C55"/>
  </mergeCells>
  <phoneticPr fontId="1"/>
  <conditionalFormatting sqref="B42">
    <cfRule type="expression" dxfId="45" priority="6">
      <formula>$C$41="BGPを利用しない"</formula>
    </cfRule>
  </conditionalFormatting>
  <conditionalFormatting sqref="B43">
    <cfRule type="expression" dxfId="44" priority="3">
      <formula>$C$41="BGPを利用しない"</formula>
    </cfRule>
  </conditionalFormatting>
  <conditionalFormatting sqref="B64">
    <cfRule type="expression" dxfId="43" priority="16">
      <formula>$G$64</formula>
    </cfRule>
  </conditionalFormatting>
  <conditionalFormatting sqref="B10:C10">
    <cfRule type="expression" dxfId="42" priority="22">
      <formula>$G$10=FALSE</formula>
    </cfRule>
  </conditionalFormatting>
  <conditionalFormatting sqref="B11:C11">
    <cfRule type="expression" dxfId="41" priority="29">
      <formula>$G$11=FALSE</formula>
    </cfRule>
  </conditionalFormatting>
  <conditionalFormatting sqref="B12:C12">
    <cfRule type="expression" dxfId="40" priority="30">
      <formula>$G$12=FALSE</formula>
    </cfRule>
  </conditionalFormatting>
  <conditionalFormatting sqref="B13:C13">
    <cfRule type="expression" dxfId="39" priority="9">
      <formula>$C$12="VPN接続のみ"</formula>
    </cfRule>
    <cfRule type="expression" dxfId="38" priority="15">
      <formula>$C$13="オプションなし"</formula>
    </cfRule>
  </conditionalFormatting>
  <conditionalFormatting sqref="B14:C14">
    <cfRule type="expression" dxfId="37" priority="47">
      <formula>$C$12="VPN接続のみ"</formula>
    </cfRule>
    <cfRule type="expression" dxfId="36" priority="38">
      <formula>$G$14=FALSE</formula>
    </cfRule>
  </conditionalFormatting>
  <conditionalFormatting sqref="B15:C15">
    <cfRule type="expression" dxfId="35" priority="7">
      <formula>$D$15="NG"</formula>
    </cfRule>
  </conditionalFormatting>
  <conditionalFormatting sqref="B16:C16 B19:C19 B61:C62">
    <cfRule type="expression" dxfId="34" priority="10">
      <formula>$C$12="HTTPS接続のみ"</formula>
    </cfRule>
  </conditionalFormatting>
  <conditionalFormatting sqref="B16:C16">
    <cfRule type="expression" dxfId="33" priority="43">
      <formula>$G$16=FALSE</formula>
    </cfRule>
  </conditionalFormatting>
  <conditionalFormatting sqref="B17:C17">
    <cfRule type="expression" dxfId="32" priority="33">
      <formula>$G$17=FALSE</formula>
    </cfRule>
  </conditionalFormatting>
  <conditionalFormatting sqref="B19:C19">
    <cfRule type="expression" dxfId="31" priority="32">
      <formula>$G$19=FALSE</formula>
    </cfRule>
  </conditionalFormatting>
  <conditionalFormatting sqref="B22:C22">
    <cfRule type="expression" dxfId="30" priority="21">
      <formula>$G$22=FALSE</formula>
    </cfRule>
  </conditionalFormatting>
  <conditionalFormatting sqref="B27:C27">
    <cfRule type="expression" dxfId="29" priority="28">
      <formula>$D$27="NG"</formula>
    </cfRule>
  </conditionalFormatting>
  <conditionalFormatting sqref="B30:C30">
    <cfRule type="expression" dxfId="28" priority="27">
      <formula>$D$30="NG"</formula>
    </cfRule>
  </conditionalFormatting>
  <conditionalFormatting sqref="B33:C33">
    <cfRule type="expression" dxfId="27" priority="17">
      <formula>NOT($G$33)</formula>
    </cfRule>
    <cfRule type="expression" dxfId="26" priority="18">
      <formula>$C$12="https接続のみ"</formula>
    </cfRule>
    <cfRule type="expression" dxfId="25" priority="19">
      <formula>$C$16="オプションなし"</formula>
    </cfRule>
  </conditionalFormatting>
  <conditionalFormatting sqref="B36:C45">
    <cfRule type="expression" dxfId="24" priority="1">
      <formula>$C$12="HTTPS接続のみ"</formula>
    </cfRule>
  </conditionalFormatting>
  <conditionalFormatting sqref="B37:C37">
    <cfRule type="expression" dxfId="23" priority="49">
      <formula>$G$37=FALSE</formula>
    </cfRule>
  </conditionalFormatting>
  <conditionalFormatting sqref="B38:C38">
    <cfRule type="expression" dxfId="22" priority="37">
      <formula>$G$38=FALSE</formula>
    </cfRule>
  </conditionalFormatting>
  <conditionalFormatting sqref="B39:C39">
    <cfRule type="expression" dxfId="21" priority="36">
      <formula>$G$39=FALSE</formula>
    </cfRule>
  </conditionalFormatting>
  <conditionalFormatting sqref="B41:C41">
    <cfRule type="expression" dxfId="20" priority="12">
      <formula>$G$41=FALSE</formula>
    </cfRule>
  </conditionalFormatting>
  <conditionalFormatting sqref="B42:C42">
    <cfRule type="expression" dxfId="19" priority="5">
      <formula>$G$42=FALSE</formula>
    </cfRule>
  </conditionalFormatting>
  <conditionalFormatting sqref="B43:C43">
    <cfRule type="expression" dxfId="18" priority="2">
      <formula>$G$43=FALSE</formula>
    </cfRule>
  </conditionalFormatting>
  <conditionalFormatting sqref="B48:C48">
    <cfRule type="expression" dxfId="17" priority="8">
      <formula>OR($C$12="VPN接続のみ",$C$12="")</formula>
    </cfRule>
  </conditionalFormatting>
  <conditionalFormatting sqref="B48:C50">
    <cfRule type="expression" dxfId="16" priority="13">
      <formula>$G48=FALSE</formula>
    </cfRule>
  </conditionalFormatting>
  <conditionalFormatting sqref="B49:C50">
    <cfRule type="expression" dxfId="15" priority="14">
      <formula>$C$48&lt;&gt;"プロキシサーバーを指定する"</formula>
    </cfRule>
  </conditionalFormatting>
  <conditionalFormatting sqref="B53:C53">
    <cfRule type="expression" dxfId="14" priority="46">
      <formula>$G$53=FALSE</formula>
    </cfRule>
  </conditionalFormatting>
  <conditionalFormatting sqref="B54:C54">
    <cfRule type="expression" dxfId="13" priority="45">
      <formula>$G$54=FALSE</formula>
    </cfRule>
  </conditionalFormatting>
  <conditionalFormatting sqref="B57:C57">
    <cfRule type="expression" dxfId="12" priority="42">
      <formula>$G$57=FALSE</formula>
    </cfRule>
  </conditionalFormatting>
  <conditionalFormatting sqref="B58:C58">
    <cfRule type="expression" dxfId="11" priority="31">
      <formula>$G$58=FALSE</formula>
    </cfRule>
  </conditionalFormatting>
  <conditionalFormatting sqref="B59:C59">
    <cfRule type="expression" dxfId="10" priority="41">
      <formula>$G$59=FALSE</formula>
    </cfRule>
  </conditionalFormatting>
  <conditionalFormatting sqref="B60:C60">
    <cfRule type="expression" dxfId="9" priority="44">
      <formula>$G$60=FALSE</formula>
    </cfRule>
    <cfRule type="expression" dxfId="8" priority="48">
      <formula>$C$11&lt;1000</formula>
    </cfRule>
  </conditionalFormatting>
  <conditionalFormatting sqref="B61:C61">
    <cfRule type="expression" dxfId="7" priority="40">
      <formula>$G$61=FALSE</formula>
    </cfRule>
  </conditionalFormatting>
  <conditionalFormatting sqref="B62:C62">
    <cfRule type="expression" dxfId="6" priority="39">
      <formula>$G$62=FALSE</formula>
    </cfRule>
  </conditionalFormatting>
  <conditionalFormatting sqref="C10">
    <cfRule type="containsText" dxfId="5" priority="20" operator="containsText" text="H">
      <formula>NOT(ISERROR(SEARCH("H",C10)))</formula>
    </cfRule>
  </conditionalFormatting>
  <conditionalFormatting sqref="C27:C28 C30:C31 C66">
    <cfRule type="cellIs" dxfId="4" priority="24" operator="equal">
      <formula>"（ご記入は任意です）"</formula>
    </cfRule>
  </conditionalFormatting>
  <conditionalFormatting sqref="C42:C43">
    <cfRule type="expression" dxfId="3" priority="35">
      <formula>$C$41="BGPを利用しない"</formula>
    </cfRule>
  </conditionalFormatting>
  <conditionalFormatting sqref="C59:C60">
    <cfRule type="cellIs" dxfId="2" priority="26" operator="equal">
      <formula>"既定のホスト名を利用"</formula>
    </cfRule>
  </conditionalFormatting>
  <conditionalFormatting sqref="C63">
    <cfRule type="cellIs" dxfId="1" priority="25" operator="equal">
      <formula>"52300(初期値)"</formula>
    </cfRule>
  </conditionalFormatting>
  <conditionalFormatting sqref="G10:H10">
    <cfRule type="expression" dxfId="0" priority="23">
      <formula>$G$11=FALSE</formula>
    </cfRule>
  </conditionalFormatting>
  <dataValidations count="35">
    <dataValidation type="whole" operator="greaterThanOrEqual" allowBlank="1" showInputMessage="1" showErrorMessage="1" prompt="ログ保管容量追加オプションをご購入される場合は。追加される容量(TB単位)を入力してください。_x000a_購入されない場合は、0を入力してください。" sqref="C15" xr:uid="{C80D5AB4-385B-4D85-81AE-0A07EB0F57D1}">
      <formula1>0</formula1>
    </dataValidation>
    <dataValidation type="list" allowBlank="1" showInputMessage="1" showErrorMessage="1" prompt="httpsゲートウェイサーバ経由でご利用する場合は「ホスト名」固定となります。_x000a_※端末機はHTTPSゲートウェイ経由でマスターサーバーと通信するため、端末機からマスターサーバーのホスト名が名前解決できる必要はありません。_x000a_VPNを使用される場合で、ホスト名で通信できない場合は、「IPアドレス」を記入してください。_x000a_VPN使用かつ「ホスト名」を選択された場合は名前解決ができる必要があります。" sqref="C53" xr:uid="{FA0BEF0B-D25B-4D95-9F69-D8BEBE94D766}">
      <formula1>INDIRECT($H$12)</formula1>
    </dataValidation>
    <dataValidation type="list" allowBlank="1" showInputMessage="1" showErrorMessage="1" prompt="Microsoft Azure側にて検証済みのVPN装置をご利用される場合は、「確認済み(検証済み機器)」を選択してください。_x000a_検証済み製品ではないがIPSecにてMicrosoft Azureとの接続を行える製品を利用する場合は「確認済み(未検証機器)」を選択してください。_x000a_※VPN装置に対してMicrosoft Azureリソースへのアクセス権を付与する事はできません" sqref="C39" xr:uid="{38B218DF-6A0D-4B10-A4D5-8316EBE4D066}">
      <formula1>"確認済み(検証済み機器),確認済み(未検証機器)"</formula1>
    </dataValidation>
    <dataValidation type="custom" allowBlank="1" showInputMessage="1" showErrorMessage="1" error="IPアドレスとして有効な形式で入力してください。(xxx.xxx.xxx.xxx)" prompt="Microsoft AzureへBGP接続するBGPネイバーのIPアドレスを記入してください。" sqref="C42" xr:uid="{15E033BA-FECB-41E9-A3D6-85D0F7D8A9F3}">
      <formula1>AND((LEN(C42)-LEN(SUBSTITUTE(C42,".","")))=3,ISNUMBER(SUBSTITUTE(C42,".","")+0))</formula1>
    </dataValidation>
    <dataValidation allowBlank="1" showInputMessage="1" showErrorMessage="1" prompt="プロキシサーバーを指定する場合、プロキシサーバーのポート番号を指定してください。本設定は「インターネット経由での通信方式設定」に反映されます。自動取得に失敗し、かつ本指定も誤っている場合マスターサーバーに接続できなくなります。" sqref="C50" xr:uid="{1CB76E00-DF80-4DA3-BE20-DEF01D280F3D}"/>
    <dataValidation allowBlank="1" showInputMessage="1" showErrorMessage="1" prompt="プロキシサーバーを指定する場合、プロキシサーバー名もしくはIPアドレスを指定してください。本設定は「インターネット経由での通信方式設定」に反映されます。自動取得に失敗し、かつ本指定も誤っている場合や、サーバー名で指定をして名前解決ができない場合は、マスターサーバーに接続できなくなります。" sqref="C49" xr:uid="{BEEA2616-ECD5-42BA-9B55-E69B6F8E894B}"/>
    <dataValidation type="custom" allowBlank="1" showInputMessage="1" showErrorMessage="1" sqref="I57" xr:uid="{9E4371F6-61F0-4282-A454-0AFAB64D64E5}">
      <formula1>AND((LEN(I57)-LEN(SUBSTITUTE(I57,".","")))=3,ISNUMBER(SUBSTITUTE(I57,".","")+0))</formula1>
    </dataValidation>
    <dataValidation type="list" allowBlank="1" showInputMessage="1" showErrorMessage="1" prompt="ログ解析 オプションを利用される場合に指定します。_x000a_初期値は「80」となります。_x000a_「443」を選択される場合はSSLサーバー証明書をご用意ください。" sqref="C33" xr:uid="{C116F8E4-692C-4CE7-B6EB-30FE8D0EEBB2}">
      <formula1>INDIRECT($D$16)</formula1>
    </dataValidation>
    <dataValidation type="list" allowBlank="1" showInputMessage="1" showErrorMessage="1" sqref="C10" xr:uid="{A4E04384-08DE-420C-A463-15DC4CD721D1}">
      <formula1>"S1H Cloud Edition,S3H Cloud Edition,S1 Cloud Edition,S3 Cloud Edition"</formula1>
    </dataValidation>
    <dataValidation type="list" allowBlank="1" showInputMessage="1" showErrorMessage="1" prompt="MDM Services（A）のみのご契約はできません。クラウドリソース追加 オプションと併せてご契約ください。_x000a_" sqref="C20:C21" xr:uid="{4F21DE01-A686-43C9-834D-CBD6F307BDBC}">
      <formula1>"オプションあり,オプションなし"</formula1>
    </dataValidation>
    <dataValidation type="list" allowBlank="1" showInputMessage="1" showErrorMessage="1" sqref="C66" xr:uid="{5CBB8CF5-312D-4860-BBB0-6CD29E5DE816}">
      <formula1>"除外登録する,除外登録しない"</formula1>
    </dataValidation>
    <dataValidation type="list" allowBlank="1" showInputMessage="1" showErrorMessage="1" prompt="「https ゲートウェイ経由リモート操作 オプション」が「オプションあり」の場合は、「リモート操作オプション」も「オプションあり」になります。" sqref="C17" xr:uid="{5FC66B5A-7DFD-4AB9-9DA9-1EC9C5674C97}">
      <formula1>INDIRECT($H$14)</formula1>
    </dataValidation>
    <dataValidation type="list" allowBlank="1" showInputMessage="1" showErrorMessage="1" prompt="SKYSEA Client View Cloud Editionをご利用される際の環境に関して、「システム構成」を参照の上記載してください。" sqref="C12" xr:uid="{44D7851A-A58B-4939-8C9C-ACB651B22BDA}">
      <formula1>INDIRECT($H$10)</formula1>
    </dataValidation>
    <dataValidation type="list" allowBlank="1" showInputMessage="1" showErrorMessage="1" prompt="「https ゲートウェイ経由リモート操作 オプション」を利用するには、「S1H Cloud Edition」または「S3H Cloud Edition」の契約が必要となります。" sqref="C14" xr:uid="{29AA68DA-BB53-4E74-8E81-A9CBECB0C505}">
      <formula1>"オプションあり,オプションなし"</formula1>
    </dataValidation>
    <dataValidation type="whole" operator="greaterThanOrEqual" allowBlank="1" showErrorMessage="1" error="64512～65534の範囲で指定してください。" sqref="C44:C45 C47" xr:uid="{2711C629-5E05-4251-8315-D78F8D64570D}">
      <formula1>1</formula1>
    </dataValidation>
    <dataValidation type="whole" errorStyle="warning" allowBlank="1" showInputMessage="1" showErrorMessage="1" error="5,000台以上の場合は、担当営業、SEまでご連絡ください。" sqref="C11" xr:uid="{B665DF8E-842A-4731-83D4-460164A74C06}">
      <formula1>1</formula1>
      <formula2>5000</formula2>
    </dataValidation>
    <dataValidation type="list" allowBlank="1" showInputMessage="1" showErrorMessage="1" sqref="C18 C23:C24" xr:uid="{ED226AC7-786E-4792-82CB-D6814C362EF4}">
      <formula1>"オプションあり,オプションなし"</formula1>
    </dataValidation>
    <dataValidation allowBlank="1" showInputMessage="1" showErrorMessage="1" prompt="アラートメールをSMTP(S)で送信する場合、メール送信ポートを指定してください。_x000a_Microsoft Exchange Onlineを利用する際のポートは「443」で固定になります。" sqref="C27" xr:uid="{DB09EB1C-24AC-4151-A2CC-03E1791B68DA}"/>
    <dataValidation allowBlank="1" showInputMessage="1" showErrorMessage="1" prompt="アラートメールをSMTP(S)で送信する場合、メールサーバーのアドレスを指定します。_x000a_Azure上のサーバーは社内のDNSを参照しないため、メールサーバーをIPアドレスで指定してください。_x000a_https接続のみの場合は、インターネットアクセス可能なメールサーバーのグローバルIPを指定してください。" sqref="C28" xr:uid="{A8ECFC26-C7E2-44A0-90FE-D06727AFAC50}"/>
    <dataValidation allowBlank="1" showInputMessage="1" showErrorMessage="1" prompt="メール連携を行う場合、メール受信ポートを記入してください。_x000a_Microsoft Exchange Onlineを利用する際のポートは「443」で固定になります。" sqref="C30" xr:uid="{1B6C37A7-EB7D-42FC-87A5-B7FED93AC806}"/>
    <dataValidation allowBlank="1" showInputMessage="1" showErrorMessage="1" prompt="メール連携を行う場合、メール受信サーバーの情報をIPアドレスで記入してください。" sqref="C31" xr:uid="{6224619E-0724-4AFC-8C70-037FD793B2B8}"/>
    <dataValidation type="list" allowBlank="1" showInputMessage="1" showErrorMessage="1" prompt="Microsoft Exchange Onlineを利用する場合は「利用する」と入力してください。_x000a_Microsoft Exchange Onlineを利用する際のポートは「443」で固定になります。" sqref="C29 C32" xr:uid="{84F08B74-C739-48B3-99D9-BC571B210DBD}">
      <formula1>"利用する,利用しない"</formula1>
    </dataValidation>
    <dataValidation allowBlank="1" showInputMessage="1" showErrorMessage="1" prompt="SKYSEA Client View Cloudで使用するポート(TCP/UDP 52300～52314)以外にマスターサーバーに対して通信するポートがある場合、ポート番号を記入してください。" sqref="C44:C45 C47" xr:uid="{79E68144-E3A3-4657-800A-E8F8E0B3E1F6}"/>
    <dataValidation type="custom" operator="equal" allowBlank="1" showInputMessage="1" showErrorMessage="1" error="VPN接続方式はIPSecのみとなります。" sqref="C36" xr:uid="{F9FD8D44-26DE-4CE7-A411-454D249C1C16}">
      <formula1>"IPSec(固定)"</formula1>
    </dataValidation>
    <dataValidation allowBlank="1" showInputMessage="1" showErrorMessage="1" prompt="VPN装置に設定されているグローバルIPアドレスを記入してください。" sqref="C37" xr:uid="{1A03E866-0F80-4E28-86B8-75C9BE3E459C}"/>
    <dataValidation allowBlank="1" showInputMessage="1" showErrorMessage="1" prompt="VPN機器に接続する際の共有キー（接続パスワード）を記入してください。_x000a_※ -（ハイフン)、~（チルダ）、 （スペース）は使用できません" sqref="C38" xr:uid="{ED2DC4A8-9B4A-4BEC-AE1E-8AC3202E8957}"/>
    <dataValidation type="list" allowBlank="1" showInputMessage="1" showErrorMessage="1" prompt="VPN機器でBorder Gateway Protocol(BGP)を利用している場合は、「BGPを利用する」を選択してください。_x000a_Azure環境との接続時に冗長化構成を利用する場合は、VPNルータ側にてBGPを構成する必要があります。_x000a_" sqref="C41" xr:uid="{5707B4E3-A6A0-467E-865D-BAE9A93AE393}">
      <formula1>"BGPを利用する,BGPを利用しない"</formula1>
    </dataValidation>
    <dataValidation type="whole" allowBlank="1" showInputMessage="1" showErrorMessage="1" error="64512～65534の範囲で指定してください。" prompt="BGPで利用しているAS番号を記入してください。_x000a_※AS番号は、64512～65534で記入してください。" sqref="C43" xr:uid="{C6DC2CD4-94C8-4A5A-836B-2E085A44E1FB}">
      <formula1>64512</formula1>
      <formula2>65534</formula2>
    </dataValidation>
    <dataValidation type="custom" allowBlank="1" showInputMessage="1" showErrorMessage="1" error="IPアドレスとして有効な形式で入力してください。(xxx.xxx.xxx.xxx)" prompt="「システム構成」にて「VPN接続のみ」もしくは「VPN+https接続」を選択とされた場合は、社内環境と重複しないネットワークセグメントを指定してください。_x000a_「システム構成」にて「https接続のみ」を選択した場合でも、将来VPNでの接続をご検討の場合は、既存ネットワークと重複しないセグメントを指定ください。_x000a_なお、契約後のサーバーセグメントおよびIPアドレスの変更はできません。" sqref="C57" xr:uid="{0106F865-657D-4635-AD94-91EB4EA69B1D}">
      <formula1>AND((LEN(C57)-LEN(SUBSTITUTE(C57,".","")))=3,ISNUMBER(SUBSTITUTE(C57,".","")+0))</formula1>
    </dataValidation>
    <dataValidation allowBlank="1" showInputMessage="1" showErrorMessage="1" prompt="httpsゲートウェイ オプションを利用する場合は23bit、利用しない場合24bitで固定されます。" sqref="C58" xr:uid="{07054C63-11C6-40FE-9EC1-D4BA1C369AA9}"/>
    <dataValidation type="textLength" operator="lessThanOrEqual" allowBlank="1" showInputMessage="1" showErrorMessage="1" error="半角英数字10文字以内で入力してください。" prompt="Microsoft Azure環境内に構築するマスターサーバーのホスト名を記入してください。_x000a_ (半角英数字10文字以内、希望のホスト名が使用できない可能性があります)_x000a_ホスト名を指定しない場合は、弊社既定の命名規則にて登録を行います。" sqref="C59" xr:uid="{96305CB2-883A-41FA-A22E-D823D6FBC8AF}">
      <formula1>10</formula1>
    </dataValidation>
    <dataValidation allowBlank="1" showInputMessage="1" showErrorMessage="1" prompt="SKYSEA Client ViewのエージェントをインストールするPCのネットワークアドレス(プライベートIPアドレス)を記入してください。_x000a_必ず、ネットワークアドレス空間の開始アドレスをCIDR形式(x.x.x.x/xx)で指定してください。_x000a_こちらに記載したセグメントからAzure上のサーバーへアクセス可能です。" sqref="C62" xr:uid="{7426E7F5-FC2A-4F50-9B4B-F3EA00DBEEB3}"/>
    <dataValidation allowBlank="1" showInputMessage="1" showErrorMessage="1" prompt="SKYSEA Client Viewが利用するポート番号を変更する必要がある場合のみ記入してください。_x000a_記入がない場合初期値の52300を使用します。" sqref="C63" xr:uid="{C67B5A3E-7FB4-429F-9348-7CBA87C7F594}"/>
    <dataValidation type="textLength" operator="lessThanOrEqual" allowBlank="1" showInputMessage="1" showErrorMessage="1" error="半角英数字10文字以内で入力してください。" prompt="Microsoft Azure環境内に構築するデーターサーバーのホスト名を記入してください。_x000a_ (半角英数字10文字以内、希望のホスト名が使用できない可能性があります)_x000a_ホスト名を指定しない場合は、弊社既定の命名規則にて登録を行います。_x000a_1,000台以下の場合は、記入不要です。" sqref="C60" xr:uid="{E07C1370-605D-4C8F-B31F-3DD752953E7E}">
      <formula1>10</formula1>
    </dataValidation>
    <dataValidation type="list" allowBlank="1" showInputMessage="1" showErrorMessage="1" prompt="「システム構成」にて「https接続のみ」を選択した場合、本オプションは利用できません。" sqref="C19 C16" xr:uid="{1F6E9A3F-3797-4308-B72A-53862E41F6B0}">
      <formula1>"オプションあり,オプションなし"</formula1>
    </dataValidation>
  </dataValidations>
  <hyperlinks>
    <hyperlink ref="B40" r:id="rId1" xr:uid="{2F2781A3-5B34-45C2-9423-2BA0B8EB24F0}"/>
  </hyperlinks>
  <pageMargins left="0.23622047244094491" right="0.23622047244094491" top="0.74803149606299213" bottom="0.74803149606299213" header="0.31496062992125984" footer="0.31496062992125984"/>
  <pageSetup paperSize="9" scale="68" orientation="portrait" r:id="rId2"/>
  <headerFooter>
    <oddFooter>&amp;C&amp;P/&amp;N</oddFooter>
  </headerFooter>
  <rowBreaks count="1" manualBreakCount="1">
    <brk id="46" max="7" man="1"/>
  </rowBreaks>
  <colBreaks count="1" manualBreakCount="1">
    <brk id="3" max="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プロキシサーバーの指定を行わなくても、自動で情報を取得し、httpsゲートウェイサーバーへの接続を行います。本指定を行うと、自動取得に失敗した場合に利用するプロキシサーバーを指定することができます。自動取得に失敗し、かつ指定したプロキシサーバーでも通信できない場合はマスターサーバーに接続できなくなります。" xr:uid="{2F97BCDC-3D5C-49E6-990B-A32A996ED043}">
          <x14:formula1>
            <xm:f>選択肢!$B$33:$B$36</xm:f>
          </x14:formula1>
          <xm:sqref>C48</xm:sqref>
        </x14:dataValidation>
        <x14:dataValidation type="list" allowBlank="1" showInputMessage="1" showErrorMessage="1" prompt="SKYSEA Client ViewをインストールしたPCからマスターサーバー通信する際に利用する宛先情報です。httpsゲートウェイサーバ経由でご利用する場合は「ホスト名」固定となります。「ホスト名」を選択された場合に、VPNを使用してマスターサーバーへ通信するには名前解決ができる必要があります。" xr:uid="{1707FCBA-9DA3-484C-9085-A8D517C963D8}">
          <x14:formula1>
            <xm:f>IF($C$12="HTTPS接続のみ",選択肢!$B$4,選択肢!$B$3:$B$4)</xm:f>
          </x14:formula1>
          <xm:sqref>C61</xm:sqref>
        </x14:dataValidation>
        <x14:dataValidation type="list" allowBlank="1" showInputMessage="1" showErrorMessage="1" prompt="特権管理機能用インストーラーでAzure上のマスターサーバと通信する際、直接マスターサーバーと通信するか、httpsゲートウェイサーバを経由したhttps通信するかを選択します。httpsゲートウェイサーバと通信する場合は「httpsゲートウェイサーバ経由」で固定になります。" xr:uid="{35D34AE9-51EC-424A-8866-2A7527B7D6FA}">
          <x14:formula1>
            <xm:f>IF($C$12="HTTPS接続のみ",選択肢!$B$9,IF($C$12="VPN+https接続",選択肢!$B$8:$B$9,選択肢!$B$8))</xm:f>
          </x14:formula1>
          <xm:sqref>C54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16-1996-4EE5-9124-68EEB490FB3E}">
  <sheetPr codeName="Sheet6"/>
  <dimension ref="A1:N40"/>
  <sheetViews>
    <sheetView workbookViewId="0">
      <selection activeCell="E22" sqref="E22"/>
    </sheetView>
  </sheetViews>
  <sheetFormatPr defaultRowHeight="18" x14ac:dyDescent="0.45"/>
  <cols>
    <col min="1" max="1" width="17.69921875" bestFit="1" customWidth="1"/>
    <col min="2" max="2" width="56.59765625" bestFit="1" customWidth="1"/>
    <col min="3" max="3" width="15.5" bestFit="1" customWidth="1"/>
    <col min="4" max="4" width="20.5" customWidth="1"/>
    <col min="5" max="5" width="22.09765625" customWidth="1"/>
  </cols>
  <sheetData>
    <row r="1" spans="1:14" x14ac:dyDescent="0.45">
      <c r="D1" t="s">
        <v>70</v>
      </c>
      <c r="J1" t="s">
        <v>70</v>
      </c>
    </row>
    <row r="2" spans="1:14" x14ac:dyDescent="0.45">
      <c r="B2" t="s">
        <v>17</v>
      </c>
      <c r="D2" s="31" t="str" cm="1">
        <f t="array" ref="D2">IF(ヒアリングシート!$C$57&lt;&gt;"",_xlfn.TEXTSPLIT(ヒアリングシート!$C$57,{".","/"}),"")</f>
        <v/>
      </c>
      <c r="E2" s="32"/>
      <c r="F2" s="32"/>
      <c r="G2" s="32"/>
      <c r="H2" s="33"/>
      <c r="J2" s="31" t="str" cm="1">
        <f t="array" ref="J2">IF(ヒアリングシート!$C$57&lt;&gt;"",_xlfn.TEXTSPLIT(ヒアリングシート!$C$57,{".","/"}),"")</f>
        <v/>
      </c>
      <c r="K2" s="32"/>
      <c r="L2" s="32"/>
      <c r="M2" s="32"/>
      <c r="N2" s="33"/>
    </row>
    <row r="3" spans="1:14" x14ac:dyDescent="0.45">
      <c r="B3" t="s">
        <v>23</v>
      </c>
      <c r="D3" s="35" t="str">
        <f>IF(ヒアリングシート!$C$58&lt;&gt;"",LEFT(ヒアリングシート!$C$58,2),"")</f>
        <v/>
      </c>
      <c r="E3" s="34" t="e">
        <f>IF(D3=0,"0.0.0.0",IF(INT((D3-1)/8)&gt;=1,"255."&amp;IF(INT((D3-1)/8)&gt;=2,"255."&amp;IF(INT((D3-1)/8)&gt;=3,"255.",""),""),"")&amp;256-2^(8-(MOD(D3-1,8)+1))&amp;IF(INT((D3-1)/8)&lt;3,".0"&amp;IF(INT((D3-1)/8)&lt;2,".0"&amp;IF(INT((D3-1)/8)&lt;1,".0",""),""),""))</f>
        <v>#VALUE!</v>
      </c>
      <c r="J3" s="35" t="str">
        <f>IF(ヒアリングシート!$C$58&lt;&gt;"",LEFT(ヒアリングシート!$C$58,2),"")</f>
        <v/>
      </c>
      <c r="K3" s="34" t="e">
        <f>IF(J3=0,"0.0.0.0",IF(INT((J3-1)/8)&gt;=1,"255."&amp;IF(INT((J3-1)/8)&gt;=2,"255."&amp;IF(INT((J3-1)/8)&gt;=3,"255.",""),""),"")&amp;256-2^(8-(MOD(J3-1,8)+1))&amp;IF(INT((J3-1)/8)&lt;3,".0"&amp;IF(INT((J3-1)/8)&lt;2,".0"&amp;IF(INT((J3-1)/8)&lt;1,".0",""),""),""))</f>
        <v>#VALUE!</v>
      </c>
    </row>
    <row r="4" spans="1:14" x14ac:dyDescent="0.45">
      <c r="B4" t="s">
        <v>24</v>
      </c>
      <c r="D4" s="31" t="e" cm="1">
        <f t="array" ref="D4">IF($E$3&lt;&gt;"",_xlfn.TEXTSPLIT($E$3,{".","/"}),"")</f>
        <v>#VALUE!</v>
      </c>
      <c r="E4" s="32"/>
      <c r="F4" s="32"/>
      <c r="G4" s="33"/>
      <c r="J4" s="31" t="e" cm="1">
        <f t="array" ref="J4">IF($E$3&lt;&gt;"",_xlfn.TEXTSPLIT($E$3,{".","/"}),"")</f>
        <v>#VALUE!</v>
      </c>
      <c r="K4" s="32"/>
      <c r="L4" s="32"/>
      <c r="M4" s="33"/>
    </row>
    <row r="5" spans="1:14" x14ac:dyDescent="0.45">
      <c r="D5" s="31" t="e">
        <f>_xlfn.BITAND(D2,D4)</f>
        <v>#VALUE!</v>
      </c>
      <c r="E5" s="32">
        <f>_xlfn.BITAND(E2,E4)</f>
        <v>0</v>
      </c>
      <c r="F5" s="32">
        <f>_xlfn.BITAND(F2,F4)</f>
        <v>0</v>
      </c>
      <c r="G5" s="33">
        <f>_xlfn.BITAND(G2,G4)</f>
        <v>0</v>
      </c>
      <c r="J5" s="31" t="e">
        <f>_xlfn.BITAND(J2,J4)</f>
        <v>#VALUE!</v>
      </c>
      <c r="K5" s="32">
        <f>_xlfn.BITAND(K2,K4)</f>
        <v>0</v>
      </c>
      <c r="L5" s="32">
        <f>_xlfn.BITAND(L2,L4)</f>
        <v>0</v>
      </c>
      <c r="M5" s="33">
        <f>_xlfn.BITAND(M2,M4)</f>
        <v>0</v>
      </c>
    </row>
    <row r="6" spans="1:14" x14ac:dyDescent="0.45">
      <c r="D6" s="34" t="e">
        <f>_xlfn.CONCAT(D5,".",E5,".",F5,".",G5)</f>
        <v>#VALUE!</v>
      </c>
      <c r="J6" s="34" t="e">
        <f>_xlfn.CONCAT(J5,".",K5,".",L5,".",M5)</f>
        <v>#VALUE!</v>
      </c>
    </row>
    <row r="7" spans="1:14" x14ac:dyDescent="0.45">
      <c r="B7" t="s">
        <v>25</v>
      </c>
    </row>
    <row r="8" spans="1:14" x14ac:dyDescent="0.45">
      <c r="B8" t="s">
        <v>26</v>
      </c>
    </row>
    <row r="9" spans="1:14" x14ac:dyDescent="0.45">
      <c r="B9" t="s">
        <v>64</v>
      </c>
    </row>
    <row r="11" spans="1:14" x14ac:dyDescent="0.45">
      <c r="B11" t="s">
        <v>27</v>
      </c>
    </row>
    <row r="13" spans="1:14" x14ac:dyDescent="0.45">
      <c r="B13" t="s">
        <v>30</v>
      </c>
    </row>
    <row r="14" spans="1:14" x14ac:dyDescent="0.45">
      <c r="A14" t="s">
        <v>20</v>
      </c>
      <c r="B14" t="s">
        <v>31</v>
      </c>
    </row>
    <row r="15" spans="1:14" x14ac:dyDescent="0.45">
      <c r="A15" t="s">
        <v>19</v>
      </c>
      <c r="B15" t="s">
        <v>31</v>
      </c>
    </row>
    <row r="17" spans="2:5" x14ac:dyDescent="0.45">
      <c r="B17" t="s">
        <v>39</v>
      </c>
    </row>
    <row r="18" spans="2:5" x14ac:dyDescent="0.45">
      <c r="B18" t="s">
        <v>40</v>
      </c>
    </row>
    <row r="19" spans="2:5" x14ac:dyDescent="0.45">
      <c r="B19" t="s">
        <v>41</v>
      </c>
    </row>
    <row r="22" spans="2:5" x14ac:dyDescent="0.45">
      <c r="B22" t="s">
        <v>77</v>
      </c>
      <c r="C22" t="s">
        <v>78</v>
      </c>
      <c r="D22" t="s">
        <v>79</v>
      </c>
      <c r="E22" t="s">
        <v>80</v>
      </c>
    </row>
    <row r="23" spans="2:5" x14ac:dyDescent="0.45">
      <c r="B23" t="s">
        <v>81</v>
      </c>
      <c r="C23" t="s">
        <v>81</v>
      </c>
      <c r="D23" t="s">
        <v>76</v>
      </c>
      <c r="E23" t="s">
        <v>76</v>
      </c>
    </row>
    <row r="24" spans="2:5" x14ac:dyDescent="0.45">
      <c r="D24" t="s">
        <v>72</v>
      </c>
      <c r="E24" t="s">
        <v>72</v>
      </c>
    </row>
    <row r="26" spans="2:5" x14ac:dyDescent="0.45">
      <c r="B26" t="s">
        <v>40</v>
      </c>
      <c r="C26" t="s">
        <v>83</v>
      </c>
      <c r="E26" t="s">
        <v>86</v>
      </c>
    </row>
    <row r="27" spans="2:5" x14ac:dyDescent="0.45">
      <c r="B27" t="s">
        <v>82</v>
      </c>
      <c r="C27" t="s">
        <v>82</v>
      </c>
      <c r="E27">
        <v>80</v>
      </c>
    </row>
    <row r="28" spans="2:5" x14ac:dyDescent="0.45">
      <c r="C28" t="s">
        <v>83</v>
      </c>
      <c r="E28">
        <v>443</v>
      </c>
    </row>
    <row r="30" spans="2:5" x14ac:dyDescent="0.45">
      <c r="B30" t="s">
        <v>88</v>
      </c>
    </row>
    <row r="31" spans="2:5" x14ac:dyDescent="0.45">
      <c r="B31" t="s">
        <v>89</v>
      </c>
    </row>
    <row r="34" spans="2:4" x14ac:dyDescent="0.45">
      <c r="B34" t="s">
        <v>110</v>
      </c>
    </row>
    <row r="35" spans="2:4" x14ac:dyDescent="0.45">
      <c r="B35" t="s">
        <v>109</v>
      </c>
    </row>
    <row r="38" spans="2:4" x14ac:dyDescent="0.45">
      <c r="B38" t="s">
        <v>81</v>
      </c>
      <c r="C38" t="s">
        <v>76</v>
      </c>
    </row>
    <row r="39" spans="2:4" x14ac:dyDescent="0.45">
      <c r="B39" t="s">
        <v>101</v>
      </c>
      <c r="C39" t="s">
        <v>101</v>
      </c>
      <c r="D39" t="s">
        <v>101</v>
      </c>
    </row>
    <row r="40" spans="2:4" x14ac:dyDescent="0.45">
      <c r="B40" t="s">
        <v>102</v>
      </c>
      <c r="D40" t="s">
        <v>102</v>
      </c>
    </row>
  </sheetData>
  <phoneticPr fontId="1"/>
  <pageMargins left="0.7" right="0.7" top="0.75" bottom="0.75" header="0.3" footer="0.3"/>
  <ignoredErrors>
    <ignoredError sqref="D3:E3 D6:E6 D4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14</vt:i4>
      </vt:variant>
    </vt:vector>
  </HeadingPairs>
  <TitlesOfParts>
    <vt:vector size="18" baseType="lpstr">
      <vt:lpstr>システム構成</vt:lpstr>
      <vt:lpstr>ヒアリングシート</vt:lpstr>
      <vt:lpstr>ヒアリングシート (記入例)</vt:lpstr>
      <vt:lpstr>選択肢</vt:lpstr>
      <vt:lpstr>システム構成!Print_Area</vt:lpstr>
      <vt:lpstr>ヒアリングシート!Print_Area</vt:lpstr>
      <vt:lpstr>'ヒアリングシート (記入例)'!Print_Area</vt:lpstr>
      <vt:lpstr>ヒアリングシート!Print_Titles</vt:lpstr>
      <vt:lpstr>'ヒアリングシート (記入例)'!Print_Titles</vt:lpstr>
      <vt:lpstr>S1CloudEdition</vt:lpstr>
      <vt:lpstr>S1HCloudEdition</vt:lpstr>
      <vt:lpstr>S3CloudEdition</vt:lpstr>
      <vt:lpstr>S3HCloudEdition</vt:lpstr>
      <vt:lpstr>オプションあり</vt:lpstr>
      <vt:lpstr>オプションなし</vt:lpstr>
      <vt:lpstr>ホスト名のみ</vt:lpstr>
      <vt:lpstr>ログ解析</vt:lpstr>
      <vt:lpstr>両方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八田 裕稀</dc:creator>
  <cp:lastModifiedBy>八田 裕稀</cp:lastModifiedBy>
  <cp:lastPrinted>2023-08-21T04:51:10Z</cp:lastPrinted>
  <dcterms:created xsi:type="dcterms:W3CDTF">2023-02-14T06:39:45Z</dcterms:created>
  <dcterms:modified xsi:type="dcterms:W3CDTF">2023-12-27T23:58:21Z</dcterms:modified>
</cp:coreProperties>
</file>